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이상원\00.설계서\2023\01.강원도\강원도청\25년 작업\대곡~반곡 도로구역결졍(변경) - 수정\3.4용지집계표 및 조서\"/>
    </mc:Choice>
  </mc:AlternateContent>
  <bookViews>
    <workbookView xWindow="13935" yWindow="-15" windowWidth="6975" windowHeight="13350" tabRatio="866" activeTab="3"/>
  </bookViews>
  <sheets>
    <sheet name="전체집계(총괄)" sheetId="3" r:id="rId1"/>
    <sheet name="변경집계" sheetId="40" r:id="rId2"/>
    <sheet name="대곡리" sheetId="62" r:id="rId3"/>
    <sheet name="두미리" sheetId="76" r:id="rId4"/>
    <sheet name="반곡리" sheetId="75" r:id="rId5"/>
    <sheet name="1" sheetId="68" state="hidden" r:id="rId6"/>
    <sheet name="Sheet1" sheetId="73" state="hidden" r:id="rId7"/>
  </sheets>
  <definedNames>
    <definedName name="_xlnm._FilterDatabase" localSheetId="5" hidden="1">'1'!$A$5:$AM$362</definedName>
    <definedName name="_xlnm._FilterDatabase" localSheetId="2" hidden="1">대곡리!$C$1:$C$467</definedName>
    <definedName name="_xlnm._FilterDatabase" localSheetId="3" hidden="1">두미리!$H$1:$H$467</definedName>
    <definedName name="_xlnm._FilterDatabase" localSheetId="4" hidden="1">반곡리!$H$1:$H$467</definedName>
    <definedName name="_xlnm.Print_Area" localSheetId="5">'1'!$A$1:$S$362</definedName>
    <definedName name="_xlnm.Print_Area" localSheetId="2">대곡리!$A$1:$S$425</definedName>
    <definedName name="_xlnm.Print_Area" localSheetId="3">두미리!$A$1:$S$425</definedName>
    <definedName name="_xlnm.Print_Area" localSheetId="4">반곡리!$A$1:$S$425</definedName>
    <definedName name="_xlnm.Print_Area" localSheetId="1">변경집계!$A$1:$Q$117</definedName>
    <definedName name="_xlnm.Print_Area" localSheetId="0">'전체집계(총괄)'!$A$1:$V$75</definedName>
    <definedName name="_xlnm.Print_Titles" localSheetId="5">'1'!$1:$5</definedName>
    <definedName name="_xlnm.Print_Titles" localSheetId="2">대곡리!$1:$5</definedName>
    <definedName name="_xlnm.Print_Titles" localSheetId="3">두미리!$1:$5</definedName>
    <definedName name="_xlnm.Print_Titles" localSheetId="4">반곡리!$1:$5</definedName>
  </definedNames>
  <calcPr calcId="152511"/>
</workbook>
</file>

<file path=xl/calcChain.xml><?xml version="1.0" encoding="utf-8"?>
<calcChain xmlns="http://schemas.openxmlformats.org/spreadsheetml/2006/main">
  <c r="K89" i="62" l="1"/>
  <c r="F89" i="62"/>
  <c r="K68" i="62"/>
  <c r="F68" i="62"/>
  <c r="K47" i="62"/>
  <c r="F47" i="62"/>
  <c r="K110" i="76" l="1"/>
  <c r="F110" i="76"/>
  <c r="Y124" i="76"/>
  <c r="X124" i="76"/>
  <c r="Y127" i="76"/>
  <c r="X127" i="76"/>
  <c r="V127" i="76"/>
  <c r="F131" i="76"/>
  <c r="K89" i="76"/>
  <c r="F89" i="76"/>
  <c r="K68" i="76"/>
  <c r="F68" i="76"/>
  <c r="K47" i="76"/>
  <c r="F47" i="76"/>
  <c r="AK9" i="62"/>
  <c r="AK11" i="62"/>
  <c r="AJ46" i="62"/>
  <c r="AK42" i="62"/>
  <c r="AK43" i="62"/>
  <c r="K26" i="76" l="1"/>
  <c r="F26" i="76"/>
  <c r="K26" i="62"/>
  <c r="F26" i="62"/>
  <c r="O69" i="40"/>
  <c r="T75" i="3" s="1"/>
  <c r="M69" i="40"/>
  <c r="S75" i="3" s="1"/>
  <c r="L69" i="40"/>
  <c r="R75" i="3" s="1"/>
  <c r="K69" i="40"/>
  <c r="U50" i="3" s="1"/>
  <c r="J69" i="40"/>
  <c r="T50" i="3" s="1"/>
  <c r="H69" i="40"/>
  <c r="S50" i="3" s="1"/>
  <c r="G69" i="40"/>
  <c r="R50" i="3" s="1"/>
  <c r="F69" i="40"/>
  <c r="Q69" i="40" s="1"/>
  <c r="E69" i="40"/>
  <c r="T25" i="3" s="1"/>
  <c r="C69" i="40"/>
  <c r="S25" i="3" s="1"/>
  <c r="B69" i="40"/>
  <c r="P67" i="40"/>
  <c r="U73" i="3" s="1"/>
  <c r="O67" i="40"/>
  <c r="T73" i="3" s="1"/>
  <c r="M67" i="40"/>
  <c r="S73" i="3" s="1"/>
  <c r="L67" i="40"/>
  <c r="R73" i="3" s="1"/>
  <c r="K67" i="40"/>
  <c r="U48" i="3" s="1"/>
  <c r="J67" i="40"/>
  <c r="T48" i="3" s="1"/>
  <c r="H67" i="40"/>
  <c r="S48" i="3" s="1"/>
  <c r="G67" i="40"/>
  <c r="R48" i="3" s="1"/>
  <c r="F67" i="40"/>
  <c r="E67" i="40"/>
  <c r="T23" i="3" s="1"/>
  <c r="C67" i="40"/>
  <c r="U23" i="3" s="1"/>
  <c r="B67" i="40"/>
  <c r="R23" i="3" s="1"/>
  <c r="P64" i="40"/>
  <c r="U70" i="3" s="1"/>
  <c r="O64" i="40"/>
  <c r="T70" i="3" s="1"/>
  <c r="M64" i="40"/>
  <c r="S70" i="3"/>
  <c r="L64" i="40"/>
  <c r="R70" i="3" s="1"/>
  <c r="K64" i="40"/>
  <c r="U45" i="3" s="1"/>
  <c r="J64" i="40"/>
  <c r="T45" i="3" s="1"/>
  <c r="H64" i="40"/>
  <c r="S45" i="3" s="1"/>
  <c r="G64" i="40"/>
  <c r="R45" i="3" s="1"/>
  <c r="F64" i="40"/>
  <c r="E64" i="40"/>
  <c r="C64" i="40"/>
  <c r="S20" i="3" s="1"/>
  <c r="B64" i="40"/>
  <c r="R20" i="3"/>
  <c r="P69" i="40"/>
  <c r="U75" i="3" s="1"/>
  <c r="U27" i="62"/>
  <c r="B21" i="40"/>
  <c r="J23" i="3" s="1"/>
  <c r="C21" i="40"/>
  <c r="K23" i="3" s="1"/>
  <c r="E21" i="40"/>
  <c r="L23" i="3" s="1"/>
  <c r="F21" i="40"/>
  <c r="G21" i="40"/>
  <c r="N25" i="3" s="1"/>
  <c r="H21" i="40"/>
  <c r="K48" i="3" s="1"/>
  <c r="J21" i="40"/>
  <c r="P25" i="3" s="1"/>
  <c r="K21" i="40"/>
  <c r="M48" i="3" s="1"/>
  <c r="L21" i="40"/>
  <c r="J73" i="3" s="1"/>
  <c r="M21" i="40"/>
  <c r="K73" i="3" s="1"/>
  <c r="O21" i="40"/>
  <c r="L73" i="3" s="1"/>
  <c r="P21" i="40"/>
  <c r="M73" i="3" s="1"/>
  <c r="P46" i="40"/>
  <c r="Q75" i="3" s="1"/>
  <c r="O46" i="40"/>
  <c r="P75" i="3" s="1"/>
  <c r="M46" i="40"/>
  <c r="O75" i="3" s="1"/>
  <c r="L46" i="40"/>
  <c r="N75" i="3" s="1"/>
  <c r="K46" i="40"/>
  <c r="Q50" i="3" s="1"/>
  <c r="J46" i="40"/>
  <c r="P50" i="3" s="1"/>
  <c r="H46" i="40"/>
  <c r="O50" i="3" s="1"/>
  <c r="G46" i="40"/>
  <c r="N50" i="3" s="1"/>
  <c r="F46" i="40"/>
  <c r="P44" i="40"/>
  <c r="Q73" i="3" s="1"/>
  <c r="O44" i="40"/>
  <c r="P73" i="3" s="1"/>
  <c r="M44" i="40"/>
  <c r="O73" i="3" s="1"/>
  <c r="L44" i="40"/>
  <c r="N73" i="3" s="1"/>
  <c r="K44" i="40"/>
  <c r="Q48" i="3" s="1"/>
  <c r="J44" i="40"/>
  <c r="P48" i="3" s="1"/>
  <c r="H44" i="40"/>
  <c r="O48" i="3" s="1"/>
  <c r="G44" i="40"/>
  <c r="N48" i="3" s="1"/>
  <c r="F44" i="40"/>
  <c r="Q23" i="3" s="1"/>
  <c r="Y189" i="76"/>
  <c r="X189" i="76"/>
  <c r="V189" i="76"/>
  <c r="U189" i="76"/>
  <c r="Y168" i="76"/>
  <c r="X168" i="76"/>
  <c r="V168" i="76"/>
  <c r="U168" i="76"/>
  <c r="Y147" i="76"/>
  <c r="X147" i="76"/>
  <c r="V147" i="76"/>
  <c r="U147" i="76"/>
  <c r="Y126" i="76"/>
  <c r="X126" i="76"/>
  <c r="Y105" i="76"/>
  <c r="X105" i="76"/>
  <c r="Y84" i="76"/>
  <c r="X84" i="76"/>
  <c r="Y63" i="76"/>
  <c r="Y418" i="76"/>
  <c r="X418" i="76"/>
  <c r="V418" i="76"/>
  <c r="U418" i="76"/>
  <c r="U425" i="76" s="1"/>
  <c r="Y397" i="76"/>
  <c r="X397" i="76"/>
  <c r="V397" i="76"/>
  <c r="U397" i="76"/>
  <c r="Y376" i="76"/>
  <c r="X376" i="76"/>
  <c r="V376" i="76"/>
  <c r="U376" i="76"/>
  <c r="Y355" i="76"/>
  <c r="X355" i="76"/>
  <c r="V355" i="76"/>
  <c r="U355" i="76"/>
  <c r="Y334" i="76"/>
  <c r="X334" i="76"/>
  <c r="V334" i="76"/>
  <c r="U334" i="76"/>
  <c r="Y313" i="76"/>
  <c r="X313" i="76"/>
  <c r="V313" i="76"/>
  <c r="U313" i="76"/>
  <c r="Y292" i="76"/>
  <c r="X292" i="76"/>
  <c r="V292" i="76"/>
  <c r="U292" i="76"/>
  <c r="Y271" i="76"/>
  <c r="X271" i="76"/>
  <c r="V271" i="76"/>
  <c r="U271" i="76"/>
  <c r="Y250" i="76"/>
  <c r="X250" i="76"/>
  <c r="V250" i="76"/>
  <c r="U250" i="76"/>
  <c r="Y229" i="76"/>
  <c r="X229" i="76"/>
  <c r="V229" i="76"/>
  <c r="U229" i="76"/>
  <c r="Y208" i="76"/>
  <c r="X208" i="76"/>
  <c r="V208" i="76"/>
  <c r="U208" i="76"/>
  <c r="Y187" i="76"/>
  <c r="X187" i="76"/>
  <c r="V187" i="76"/>
  <c r="U187" i="76"/>
  <c r="Y166" i="76"/>
  <c r="X166" i="76"/>
  <c r="V166" i="76"/>
  <c r="U166" i="76"/>
  <c r="Y145" i="76"/>
  <c r="X145" i="76"/>
  <c r="V145" i="76"/>
  <c r="U145" i="76"/>
  <c r="Y103" i="76"/>
  <c r="X103" i="76"/>
  <c r="Y82" i="76"/>
  <c r="X82" i="76"/>
  <c r="Y61" i="76"/>
  <c r="X61" i="76"/>
  <c r="Y40" i="76"/>
  <c r="X40" i="76"/>
  <c r="Y19" i="76"/>
  <c r="Y21" i="76"/>
  <c r="X21" i="76"/>
  <c r="X19" i="76"/>
  <c r="E46" i="40"/>
  <c r="E44" i="40"/>
  <c r="P23" i="3" s="1"/>
  <c r="V126" i="76"/>
  <c r="V105" i="76"/>
  <c r="V84" i="76"/>
  <c r="V63" i="76"/>
  <c r="V42" i="76"/>
  <c r="V124" i="76"/>
  <c r="V103" i="76"/>
  <c r="V82" i="76"/>
  <c r="V61" i="76"/>
  <c r="V40" i="76"/>
  <c r="V21" i="76"/>
  <c r="V19" i="76"/>
  <c r="C46" i="40"/>
  <c r="C44" i="40"/>
  <c r="O23" i="3" s="1"/>
  <c r="U120" i="76"/>
  <c r="U19" i="76"/>
  <c r="U40" i="76"/>
  <c r="U61" i="76"/>
  <c r="U82" i="76"/>
  <c r="U103" i="76"/>
  <c r="U124" i="76"/>
  <c r="U127" i="76"/>
  <c r="U126" i="76"/>
  <c r="U105" i="76"/>
  <c r="U84" i="76"/>
  <c r="U63" i="76"/>
  <c r="U42" i="76"/>
  <c r="U21" i="76"/>
  <c r="B46" i="40"/>
  <c r="B44" i="40"/>
  <c r="N23" i="3" s="1"/>
  <c r="W425" i="76"/>
  <c r="AK424" i="76"/>
  <c r="AJ424" i="76"/>
  <c r="Y424" i="76"/>
  <c r="X424" i="76"/>
  <c r="V424" i="76"/>
  <c r="U424" i="76"/>
  <c r="K424" i="76"/>
  <c r="F424" i="76"/>
  <c r="AK423" i="76"/>
  <c r="AJ423" i="76"/>
  <c r="AK422" i="76"/>
  <c r="AJ422" i="76"/>
  <c r="AK421" i="76"/>
  <c r="AJ421" i="76"/>
  <c r="Y421" i="76"/>
  <c r="X421" i="76"/>
  <c r="V421" i="76"/>
  <c r="U421" i="76"/>
  <c r="AK420" i="76"/>
  <c r="AJ420" i="76"/>
  <c r="Y420" i="76"/>
  <c r="X420" i="76"/>
  <c r="V420" i="76"/>
  <c r="V425" i="76" s="1"/>
  <c r="U420" i="76"/>
  <c r="AK419" i="76"/>
  <c r="AJ419" i="76"/>
  <c r="Y419" i="76"/>
  <c r="X419" i="76"/>
  <c r="V419" i="76"/>
  <c r="U419" i="76"/>
  <c r="AK418" i="76"/>
  <c r="AJ418" i="76"/>
  <c r="AK417" i="76"/>
  <c r="AJ417" i="76"/>
  <c r="Y417" i="76"/>
  <c r="X417" i="76"/>
  <c r="V417" i="76"/>
  <c r="U417" i="76"/>
  <c r="AK416" i="76"/>
  <c r="AJ416" i="76"/>
  <c r="Y416" i="76"/>
  <c r="X416" i="76"/>
  <c r="V416" i="76"/>
  <c r="U416" i="76"/>
  <c r="AK415" i="76"/>
  <c r="AJ415" i="76"/>
  <c r="Y415" i="76"/>
  <c r="X415" i="76"/>
  <c r="V415" i="76"/>
  <c r="U415" i="76"/>
  <c r="AK414" i="76"/>
  <c r="AJ414" i="76"/>
  <c r="Y414" i="76"/>
  <c r="X414" i="76"/>
  <c r="V414" i="76"/>
  <c r="U414" i="76"/>
  <c r="AK413" i="76"/>
  <c r="AJ413" i="76"/>
  <c r="Y413" i="76"/>
  <c r="X413" i="76"/>
  <c r="V413" i="76"/>
  <c r="U413" i="76"/>
  <c r="AK412" i="76"/>
  <c r="AJ412" i="76"/>
  <c r="Y412" i="76"/>
  <c r="X412" i="76"/>
  <c r="V412" i="76"/>
  <c r="U412" i="76"/>
  <c r="AK411" i="76"/>
  <c r="AJ411" i="76"/>
  <c r="Y411" i="76"/>
  <c r="X411" i="76"/>
  <c r="V411" i="76"/>
  <c r="U411" i="76"/>
  <c r="AK410" i="76"/>
  <c r="AJ410" i="76"/>
  <c r="Y410" i="76"/>
  <c r="X410" i="76"/>
  <c r="V410" i="76"/>
  <c r="U410" i="76"/>
  <c r="AK409" i="76"/>
  <c r="AJ409" i="76"/>
  <c r="Y409" i="76"/>
  <c r="X409" i="76"/>
  <c r="V409" i="76"/>
  <c r="U409" i="76"/>
  <c r="AK408" i="76"/>
  <c r="AJ408" i="76"/>
  <c r="Y408" i="76"/>
  <c r="X408" i="76"/>
  <c r="V408" i="76"/>
  <c r="U408" i="76"/>
  <c r="AK407" i="76"/>
  <c r="AJ407" i="76"/>
  <c r="Y407" i="76"/>
  <c r="X407" i="76"/>
  <c r="V407" i="76"/>
  <c r="U407" i="76"/>
  <c r="AK406" i="76"/>
  <c r="AJ406" i="76"/>
  <c r="Y406" i="76"/>
  <c r="X406" i="76"/>
  <c r="V406" i="76"/>
  <c r="U406" i="76"/>
  <c r="AK405" i="76"/>
  <c r="AJ405" i="76"/>
  <c r="AC408" i="76" s="1"/>
  <c r="AH408" i="76" s="1"/>
  <c r="Y405" i="76"/>
  <c r="X405" i="76"/>
  <c r="V405" i="76"/>
  <c r="U405" i="76"/>
  <c r="W404" i="76"/>
  <c r="K404" i="76"/>
  <c r="F404" i="76"/>
  <c r="AK403" i="76"/>
  <c r="AJ403" i="76"/>
  <c r="Y403" i="76"/>
  <c r="X403" i="76"/>
  <c r="V403" i="76"/>
  <c r="U403" i="76"/>
  <c r="AK402" i="76"/>
  <c r="AJ402" i="76"/>
  <c r="AK401" i="76"/>
  <c r="AJ401" i="76"/>
  <c r="AK400" i="76"/>
  <c r="AJ400" i="76"/>
  <c r="Y400" i="76"/>
  <c r="X400" i="76"/>
  <c r="V400" i="76"/>
  <c r="U400" i="76"/>
  <c r="AK399" i="76"/>
  <c r="AJ399" i="76"/>
  <c r="Y399" i="76"/>
  <c r="X399" i="76"/>
  <c r="V399" i="76"/>
  <c r="U399" i="76"/>
  <c r="AK398" i="76"/>
  <c r="AJ398" i="76"/>
  <c r="Y398" i="76"/>
  <c r="X398" i="76"/>
  <c r="V398" i="76"/>
  <c r="U398" i="76"/>
  <c r="AK397" i="76"/>
  <c r="AD388" i="76" s="1"/>
  <c r="AI388" i="76" s="1"/>
  <c r="AJ397" i="76"/>
  <c r="AC387" i="76" s="1"/>
  <c r="AH387" i="76" s="1"/>
  <c r="AK396" i="76"/>
  <c r="AJ396" i="76"/>
  <c r="Y396" i="76"/>
  <c r="X396" i="76"/>
  <c r="V396" i="76"/>
  <c r="U396" i="76"/>
  <c r="AK395" i="76"/>
  <c r="AJ395" i="76"/>
  <c r="Y395" i="76"/>
  <c r="X395" i="76"/>
  <c r="V395" i="76"/>
  <c r="U395" i="76"/>
  <c r="AK394" i="76"/>
  <c r="AJ394" i="76"/>
  <c r="Y394" i="76"/>
  <c r="X394" i="76"/>
  <c r="V394" i="76"/>
  <c r="U394" i="76"/>
  <c r="AK393" i="76"/>
  <c r="AJ393" i="76"/>
  <c r="Y393" i="76"/>
  <c r="X393" i="76"/>
  <c r="V393" i="76"/>
  <c r="U393" i="76"/>
  <c r="AK392" i="76"/>
  <c r="AJ392" i="76"/>
  <c r="Y392" i="76"/>
  <c r="X392" i="76"/>
  <c r="V392" i="76"/>
  <c r="U392" i="76"/>
  <c r="AK391" i="76"/>
  <c r="AJ391" i="76"/>
  <c r="Y391" i="76"/>
  <c r="X391" i="76"/>
  <c r="V391" i="76"/>
  <c r="U391" i="76"/>
  <c r="AK390" i="76"/>
  <c r="AJ390" i="76"/>
  <c r="Y390" i="76"/>
  <c r="X390" i="76"/>
  <c r="V390" i="76"/>
  <c r="U390" i="76"/>
  <c r="AK389" i="76"/>
  <c r="AJ389" i="76"/>
  <c r="Y389" i="76"/>
  <c r="X389" i="76"/>
  <c r="V389" i="76"/>
  <c r="U389" i="76"/>
  <c r="AK388" i="76"/>
  <c r="AJ388" i="76"/>
  <c r="Y388" i="76"/>
  <c r="X388" i="76"/>
  <c r="V388" i="76"/>
  <c r="U388" i="76"/>
  <c r="AK387" i="76"/>
  <c r="AJ387" i="76"/>
  <c r="Y387" i="76"/>
  <c r="X387" i="76"/>
  <c r="V387" i="76"/>
  <c r="U387" i="76"/>
  <c r="AK386" i="76"/>
  <c r="AJ386" i="76"/>
  <c r="Y386" i="76"/>
  <c r="X386" i="76"/>
  <c r="V386" i="76"/>
  <c r="U386" i="76"/>
  <c r="AK385" i="76"/>
  <c r="AJ385" i="76"/>
  <c r="Y385" i="76"/>
  <c r="X385" i="76"/>
  <c r="V385" i="76"/>
  <c r="U385" i="76"/>
  <c r="AK384" i="76"/>
  <c r="AJ384" i="76"/>
  <c r="Y384" i="76"/>
  <c r="X384" i="76"/>
  <c r="V384" i="76"/>
  <c r="U384" i="76"/>
  <c r="W383" i="76"/>
  <c r="K383" i="76"/>
  <c r="F383" i="76"/>
  <c r="AK382" i="76"/>
  <c r="AJ382" i="76"/>
  <c r="Y382" i="76"/>
  <c r="X382" i="76"/>
  <c r="V382" i="76"/>
  <c r="U382" i="76"/>
  <c r="AK381" i="76"/>
  <c r="AJ381" i="76"/>
  <c r="AK380" i="76"/>
  <c r="AJ380" i="76"/>
  <c r="AK379" i="76"/>
  <c r="AJ379" i="76"/>
  <c r="Y379" i="76"/>
  <c r="X379" i="76"/>
  <c r="V379" i="76"/>
  <c r="U379" i="76"/>
  <c r="AK378" i="76"/>
  <c r="AJ378" i="76"/>
  <c r="Y378" i="76"/>
  <c r="X378" i="76"/>
  <c r="V378" i="76"/>
  <c r="U378" i="76"/>
  <c r="AK377" i="76"/>
  <c r="AJ377" i="76"/>
  <c r="Y377" i="76"/>
  <c r="X377" i="76"/>
  <c r="V377" i="76"/>
  <c r="U377" i="76"/>
  <c r="AK376" i="76"/>
  <c r="AJ376" i="76"/>
  <c r="AK375" i="76"/>
  <c r="AJ375" i="76"/>
  <c r="Y375" i="76"/>
  <c r="X375" i="76"/>
  <c r="V375" i="76"/>
  <c r="U375" i="76"/>
  <c r="AK374" i="76"/>
  <c r="AJ374" i="76"/>
  <c r="Y374" i="76"/>
  <c r="X374" i="76"/>
  <c r="V374" i="76"/>
  <c r="U374" i="76"/>
  <c r="AK373" i="76"/>
  <c r="AJ373" i="76"/>
  <c r="Y373" i="76"/>
  <c r="X373" i="76"/>
  <c r="V373" i="76"/>
  <c r="U373" i="76"/>
  <c r="AK372" i="76"/>
  <c r="AJ372" i="76"/>
  <c r="Y372" i="76"/>
  <c r="X372" i="76"/>
  <c r="V372" i="76"/>
  <c r="U372" i="76"/>
  <c r="AK371" i="76"/>
  <c r="AJ371" i="76"/>
  <c r="Y371" i="76"/>
  <c r="X371" i="76"/>
  <c r="V371" i="76"/>
  <c r="U371" i="76"/>
  <c r="AK370" i="76"/>
  <c r="AJ370" i="76"/>
  <c r="Y370" i="76"/>
  <c r="X370" i="76"/>
  <c r="V370" i="76"/>
  <c r="U370" i="76"/>
  <c r="AK369" i="76"/>
  <c r="AJ369" i="76"/>
  <c r="Y369" i="76"/>
  <c r="X369" i="76"/>
  <c r="V369" i="76"/>
  <c r="U369" i="76"/>
  <c r="AK368" i="76"/>
  <c r="AJ368" i="76"/>
  <c r="Y368" i="76"/>
  <c r="X368" i="76"/>
  <c r="V368" i="76"/>
  <c r="U368" i="76"/>
  <c r="AK367" i="76"/>
  <c r="AJ367" i="76"/>
  <c r="Y367" i="76"/>
  <c r="X367" i="76"/>
  <c r="V367" i="76"/>
  <c r="U367" i="76"/>
  <c r="AK366" i="76"/>
  <c r="AJ366" i="76"/>
  <c r="Y366" i="76"/>
  <c r="X366" i="76"/>
  <c r="V366" i="76"/>
  <c r="U366" i="76"/>
  <c r="AK365" i="76"/>
  <c r="AJ365" i="76"/>
  <c r="Y365" i="76"/>
  <c r="X365" i="76"/>
  <c r="V365" i="76"/>
  <c r="U365" i="76"/>
  <c r="AK364" i="76"/>
  <c r="AJ364" i="76"/>
  <c r="AC373" i="76" s="1"/>
  <c r="AH373" i="76" s="1"/>
  <c r="Y364" i="76"/>
  <c r="X364" i="76"/>
  <c r="V364" i="76"/>
  <c r="U364" i="76"/>
  <c r="AK363" i="76"/>
  <c r="AJ363" i="76"/>
  <c r="Y363" i="76"/>
  <c r="X363" i="76"/>
  <c r="V363" i="76"/>
  <c r="U363" i="76"/>
  <c r="W362" i="76"/>
  <c r="K362" i="76"/>
  <c r="F362" i="76"/>
  <c r="AK361" i="76"/>
  <c r="AJ361" i="76"/>
  <c r="Y361" i="76"/>
  <c r="X361" i="76"/>
  <c r="V361" i="76"/>
  <c r="U361" i="76"/>
  <c r="AK360" i="76"/>
  <c r="AJ360" i="76"/>
  <c r="AK359" i="76"/>
  <c r="AJ359" i="76"/>
  <c r="AK358" i="76"/>
  <c r="AJ358" i="76"/>
  <c r="Y358" i="76"/>
  <c r="X358" i="76"/>
  <c r="V358" i="76"/>
  <c r="U358" i="76"/>
  <c r="AK357" i="76"/>
  <c r="AJ357" i="76"/>
  <c r="Y357" i="76"/>
  <c r="X357" i="76"/>
  <c r="V357" i="76"/>
  <c r="U357" i="76"/>
  <c r="AK356" i="76"/>
  <c r="AJ356" i="76"/>
  <c r="Z361" i="76" s="1"/>
  <c r="Y356" i="76"/>
  <c r="X356" i="76"/>
  <c r="V356" i="76"/>
  <c r="U356" i="76"/>
  <c r="AK355" i="76"/>
  <c r="AJ355" i="76"/>
  <c r="AK354" i="76"/>
  <c r="AJ354" i="76"/>
  <c r="Y354" i="76"/>
  <c r="X354" i="76"/>
  <c r="V354" i="76"/>
  <c r="U354" i="76"/>
  <c r="AK353" i="76"/>
  <c r="AJ353" i="76"/>
  <c r="Y353" i="76"/>
  <c r="X353" i="76"/>
  <c r="V353" i="76"/>
  <c r="U353" i="76"/>
  <c r="AK352" i="76"/>
  <c r="AJ352" i="76"/>
  <c r="Y352" i="76"/>
  <c r="X352" i="76"/>
  <c r="V352" i="76"/>
  <c r="U352" i="76"/>
  <c r="AK351" i="76"/>
  <c r="AJ351" i="76"/>
  <c r="Y351" i="76"/>
  <c r="X351" i="76"/>
  <c r="V351" i="76"/>
  <c r="U351" i="76"/>
  <c r="AK350" i="76"/>
  <c r="AJ350" i="76"/>
  <c r="Y350" i="76"/>
  <c r="X350" i="76"/>
  <c r="V350" i="76"/>
  <c r="U350" i="76"/>
  <c r="AK349" i="76"/>
  <c r="AJ349" i="76"/>
  <c r="Y349" i="76"/>
  <c r="X349" i="76"/>
  <c r="V349" i="76"/>
  <c r="U349" i="76"/>
  <c r="AK348" i="76"/>
  <c r="AJ348" i="76"/>
  <c r="Y348" i="76"/>
  <c r="X348" i="76"/>
  <c r="V348" i="76"/>
  <c r="U348" i="76"/>
  <c r="AK347" i="76"/>
  <c r="AJ347" i="76"/>
  <c r="Y347" i="76"/>
  <c r="X347" i="76"/>
  <c r="V347" i="76"/>
  <c r="U347" i="76"/>
  <c r="AK346" i="76"/>
  <c r="AJ346" i="76"/>
  <c r="Y346" i="76"/>
  <c r="X346" i="76"/>
  <c r="V346" i="76"/>
  <c r="U346" i="76"/>
  <c r="AK345" i="76"/>
  <c r="AJ345" i="76"/>
  <c r="Y345" i="76"/>
  <c r="X345" i="76"/>
  <c r="V345" i="76"/>
  <c r="U345" i="76"/>
  <c r="AK344" i="76"/>
  <c r="AJ344" i="76"/>
  <c r="Y344" i="76"/>
  <c r="X344" i="76"/>
  <c r="V344" i="76"/>
  <c r="U344" i="76"/>
  <c r="AK343" i="76"/>
  <c r="AJ343" i="76"/>
  <c r="Y343" i="76"/>
  <c r="X343" i="76"/>
  <c r="V343" i="76"/>
  <c r="U343" i="76"/>
  <c r="AK342" i="76"/>
  <c r="AJ342" i="76"/>
  <c r="Y342" i="76"/>
  <c r="X342" i="76"/>
  <c r="V342" i="76"/>
  <c r="U342" i="76"/>
  <c r="W341" i="76"/>
  <c r="K341" i="76"/>
  <c r="F341" i="76"/>
  <c r="AK340" i="76"/>
  <c r="AJ340" i="76"/>
  <c r="Y340" i="76"/>
  <c r="X340" i="76"/>
  <c r="V340" i="76"/>
  <c r="U340" i="76"/>
  <c r="AK339" i="76"/>
  <c r="AJ339" i="76"/>
  <c r="AK338" i="76"/>
  <c r="AD326" i="76" s="1"/>
  <c r="AI326" i="76" s="1"/>
  <c r="AJ338" i="76"/>
  <c r="AK337" i="76"/>
  <c r="AJ337" i="76"/>
  <c r="Y337" i="76"/>
  <c r="X337" i="76"/>
  <c r="V337" i="76"/>
  <c r="U337" i="76"/>
  <c r="AK336" i="76"/>
  <c r="AJ336" i="76"/>
  <c r="Y336" i="76"/>
  <c r="X336" i="76"/>
  <c r="V336" i="76"/>
  <c r="U336" i="76"/>
  <c r="AK335" i="76"/>
  <c r="AJ335" i="76"/>
  <c r="Y335" i="76"/>
  <c r="X335" i="76"/>
  <c r="V335" i="76"/>
  <c r="U335" i="76"/>
  <c r="AK334" i="76"/>
  <c r="AJ334" i="76"/>
  <c r="AK333" i="76"/>
  <c r="AJ333" i="76"/>
  <c r="Y333" i="76"/>
  <c r="X333" i="76"/>
  <c r="V333" i="76"/>
  <c r="U333" i="76"/>
  <c r="AK332" i="76"/>
  <c r="AJ332" i="76"/>
  <c r="Y332" i="76"/>
  <c r="X332" i="76"/>
  <c r="V332" i="76"/>
  <c r="U332" i="76"/>
  <c r="AK331" i="76"/>
  <c r="AJ331" i="76"/>
  <c r="Y331" i="76"/>
  <c r="X331" i="76"/>
  <c r="V331" i="76"/>
  <c r="U331" i="76"/>
  <c r="AK330" i="76"/>
  <c r="AJ330" i="76"/>
  <c r="Y330" i="76"/>
  <c r="X330" i="76"/>
  <c r="V330" i="76"/>
  <c r="U330" i="76"/>
  <c r="AK329" i="76"/>
  <c r="AJ329" i="76"/>
  <c r="Y329" i="76"/>
  <c r="X329" i="76"/>
  <c r="V329" i="76"/>
  <c r="U329" i="76"/>
  <c r="AK328" i="76"/>
  <c r="AJ328" i="76"/>
  <c r="Y328" i="76"/>
  <c r="X328" i="76"/>
  <c r="V328" i="76"/>
  <c r="U328" i="76"/>
  <c r="AK327" i="76"/>
  <c r="AJ327" i="76"/>
  <c r="Y327" i="76"/>
  <c r="X327" i="76"/>
  <c r="V327" i="76"/>
  <c r="U327" i="76"/>
  <c r="AK326" i="76"/>
  <c r="AJ326" i="76"/>
  <c r="Y326" i="76"/>
  <c r="X326" i="76"/>
  <c r="V326" i="76"/>
  <c r="U326" i="76"/>
  <c r="AK325" i="76"/>
  <c r="AJ325" i="76"/>
  <c r="Y325" i="76"/>
  <c r="X325" i="76"/>
  <c r="V325" i="76"/>
  <c r="U325" i="76"/>
  <c r="AK324" i="76"/>
  <c r="AJ324" i="76"/>
  <c r="Y324" i="76"/>
  <c r="X324" i="76"/>
  <c r="V324" i="76"/>
  <c r="U324" i="76"/>
  <c r="AK323" i="76"/>
  <c r="AJ323" i="76"/>
  <c r="Y323" i="76"/>
  <c r="X323" i="76"/>
  <c r="V323" i="76"/>
  <c r="U323" i="76"/>
  <c r="AK322" i="76"/>
  <c r="AJ322" i="76"/>
  <c r="Y322" i="76"/>
  <c r="X322" i="76"/>
  <c r="V322" i="76"/>
  <c r="U322" i="76"/>
  <c r="AK321" i="76"/>
  <c r="AJ321" i="76"/>
  <c r="Z327" i="76" s="1"/>
  <c r="AE327" i="76" s="1"/>
  <c r="Y321" i="76"/>
  <c r="X321" i="76"/>
  <c r="V321" i="76"/>
  <c r="U321" i="76"/>
  <c r="W320" i="76"/>
  <c r="K320" i="76"/>
  <c r="F320" i="76"/>
  <c r="AK319" i="76"/>
  <c r="AJ319" i="76"/>
  <c r="Y319" i="76"/>
  <c r="X319" i="76"/>
  <c r="V319" i="76"/>
  <c r="U319" i="76"/>
  <c r="AK318" i="76"/>
  <c r="AJ318" i="76"/>
  <c r="AK317" i="76"/>
  <c r="AJ317" i="76"/>
  <c r="AK316" i="76"/>
  <c r="AJ316" i="76"/>
  <c r="Y316" i="76"/>
  <c r="X316" i="76"/>
  <c r="V316" i="76"/>
  <c r="U316" i="76"/>
  <c r="AK315" i="76"/>
  <c r="AJ315" i="76"/>
  <c r="Y315" i="76"/>
  <c r="X315" i="76"/>
  <c r="V315" i="76"/>
  <c r="U315" i="76"/>
  <c r="AK314" i="76"/>
  <c r="AJ314" i="76"/>
  <c r="Y314" i="76"/>
  <c r="X314" i="76"/>
  <c r="V314" i="76"/>
  <c r="U314" i="76"/>
  <c r="AK313" i="76"/>
  <c r="AJ313" i="76"/>
  <c r="Z315" i="76" s="1"/>
  <c r="AE315" i="76" s="1"/>
  <c r="AK312" i="76"/>
  <c r="AJ312" i="76"/>
  <c r="Y312" i="76"/>
  <c r="X312" i="76"/>
  <c r="V312" i="76"/>
  <c r="U312" i="76"/>
  <c r="AK311" i="76"/>
  <c r="AJ311" i="76"/>
  <c r="Y311" i="76"/>
  <c r="X311" i="76"/>
  <c r="V311" i="76"/>
  <c r="U311" i="76"/>
  <c r="AK310" i="76"/>
  <c r="AJ310" i="76"/>
  <c r="Y310" i="76"/>
  <c r="X310" i="76"/>
  <c r="V310" i="76"/>
  <c r="U310" i="76"/>
  <c r="AK309" i="76"/>
  <c r="AJ309" i="76"/>
  <c r="Y309" i="76"/>
  <c r="X309" i="76"/>
  <c r="V309" i="76"/>
  <c r="U309" i="76"/>
  <c r="AK308" i="76"/>
  <c r="AJ308" i="76"/>
  <c r="Y308" i="76"/>
  <c r="X308" i="76"/>
  <c r="V308" i="76"/>
  <c r="U308" i="76"/>
  <c r="AK307" i="76"/>
  <c r="AJ307" i="76"/>
  <c r="Y307" i="76"/>
  <c r="X307" i="76"/>
  <c r="V307" i="76"/>
  <c r="U307" i="76"/>
  <c r="AK306" i="76"/>
  <c r="AJ306" i="76"/>
  <c r="Y306" i="76"/>
  <c r="X306" i="76"/>
  <c r="V306" i="76"/>
  <c r="U306" i="76"/>
  <c r="AK305" i="76"/>
  <c r="AJ305" i="76"/>
  <c r="Y305" i="76"/>
  <c r="X305" i="76"/>
  <c r="V305" i="76"/>
  <c r="U305" i="76"/>
  <c r="AK304" i="76"/>
  <c r="AJ304" i="76"/>
  <c r="Y304" i="76"/>
  <c r="X304" i="76"/>
  <c r="V304" i="76"/>
  <c r="U304" i="76"/>
  <c r="AK303" i="76"/>
  <c r="AJ303" i="76"/>
  <c r="Y303" i="76"/>
  <c r="X303" i="76"/>
  <c r="V303" i="76"/>
  <c r="U303" i="76"/>
  <c r="AK302" i="76"/>
  <c r="AJ302" i="76"/>
  <c r="Y302" i="76"/>
  <c r="X302" i="76"/>
  <c r="V302" i="76"/>
  <c r="U302" i="76"/>
  <c r="AK301" i="76"/>
  <c r="AJ301" i="76"/>
  <c r="Y301" i="76"/>
  <c r="X301" i="76"/>
  <c r="V301" i="76"/>
  <c r="U301" i="76"/>
  <c r="AK300" i="76"/>
  <c r="AJ300" i="76"/>
  <c r="Y300" i="76"/>
  <c r="X300" i="76"/>
  <c r="V300" i="76"/>
  <c r="U300" i="76"/>
  <c r="W299" i="76"/>
  <c r="K299" i="76"/>
  <c r="F299" i="76"/>
  <c r="AK298" i="76"/>
  <c r="AJ298" i="76"/>
  <c r="Y298" i="76"/>
  <c r="X298" i="76"/>
  <c r="V298" i="76"/>
  <c r="U298" i="76"/>
  <c r="AK297" i="76"/>
  <c r="AJ297" i="76"/>
  <c r="AK296" i="76"/>
  <c r="AJ296" i="76"/>
  <c r="AK295" i="76"/>
  <c r="AJ295" i="76"/>
  <c r="Y295" i="76"/>
  <c r="X295" i="76"/>
  <c r="V295" i="76"/>
  <c r="U295" i="76"/>
  <c r="AK294" i="76"/>
  <c r="AJ294" i="76"/>
  <c r="Y294" i="76"/>
  <c r="X294" i="76"/>
  <c r="V294" i="76"/>
  <c r="U294" i="76"/>
  <c r="AK293" i="76"/>
  <c r="AJ293" i="76"/>
  <c r="Y293" i="76"/>
  <c r="X293" i="76"/>
  <c r="V293" i="76"/>
  <c r="V299" i="76" s="1"/>
  <c r="U293" i="76"/>
  <c r="AK292" i="76"/>
  <c r="AJ292" i="76"/>
  <c r="AK291" i="76"/>
  <c r="AJ291" i="76"/>
  <c r="Y291" i="76"/>
  <c r="X291" i="76"/>
  <c r="V291" i="76"/>
  <c r="U291" i="76"/>
  <c r="AK290" i="76"/>
  <c r="AJ290" i="76"/>
  <c r="Y290" i="76"/>
  <c r="X290" i="76"/>
  <c r="V290" i="76"/>
  <c r="U290" i="76"/>
  <c r="AK289" i="76"/>
  <c r="AJ289" i="76"/>
  <c r="Y289" i="76"/>
  <c r="X289" i="76"/>
  <c r="V289" i="76"/>
  <c r="U289" i="76"/>
  <c r="AK288" i="76"/>
  <c r="AJ288" i="76"/>
  <c r="Y288" i="76"/>
  <c r="X288" i="76"/>
  <c r="V288" i="76"/>
  <c r="U288" i="76"/>
  <c r="AK287" i="76"/>
  <c r="AJ287" i="76"/>
  <c r="Y287" i="76"/>
  <c r="X287" i="76"/>
  <c r="V287" i="76"/>
  <c r="U287" i="76"/>
  <c r="AK286" i="76"/>
  <c r="AJ286" i="76"/>
  <c r="Y286" i="76"/>
  <c r="X286" i="76"/>
  <c r="V286" i="76"/>
  <c r="U286" i="76"/>
  <c r="AK285" i="76"/>
  <c r="AJ285" i="76"/>
  <c r="Y285" i="76"/>
  <c r="X285" i="76"/>
  <c r="V285" i="76"/>
  <c r="U285" i="76"/>
  <c r="AK284" i="76"/>
  <c r="AJ284" i="76"/>
  <c r="Y284" i="76"/>
  <c r="X284" i="76"/>
  <c r="V284" i="76"/>
  <c r="U284" i="76"/>
  <c r="AK283" i="76"/>
  <c r="AJ283" i="76"/>
  <c r="Y283" i="76"/>
  <c r="X283" i="76"/>
  <c r="V283" i="76"/>
  <c r="U283" i="76"/>
  <c r="AK282" i="76"/>
  <c r="AJ282" i="76"/>
  <c r="Y282" i="76"/>
  <c r="X282" i="76"/>
  <c r="V282" i="76"/>
  <c r="U282" i="76"/>
  <c r="AK281" i="76"/>
  <c r="AJ281" i="76"/>
  <c r="Y281" i="76"/>
  <c r="X281" i="76"/>
  <c r="V281" i="76"/>
  <c r="U281" i="76"/>
  <c r="AK280" i="76"/>
  <c r="AJ280" i="76"/>
  <c r="Y280" i="76"/>
  <c r="X280" i="76"/>
  <c r="V280" i="76"/>
  <c r="U280" i="76"/>
  <c r="AK279" i="76"/>
  <c r="AJ279" i="76"/>
  <c r="Y279" i="76"/>
  <c r="X279" i="76"/>
  <c r="V279" i="76"/>
  <c r="U279" i="76"/>
  <c r="W278" i="76"/>
  <c r="K278" i="76"/>
  <c r="F278" i="76"/>
  <c r="AK277" i="76"/>
  <c r="AJ277" i="76"/>
  <c r="Y277" i="76"/>
  <c r="X277" i="76"/>
  <c r="V277" i="76"/>
  <c r="U277" i="76"/>
  <c r="AK276" i="76"/>
  <c r="AJ276" i="76"/>
  <c r="AK275" i="76"/>
  <c r="AJ275" i="76"/>
  <c r="AK274" i="76"/>
  <c r="AJ274" i="76"/>
  <c r="Y274" i="76"/>
  <c r="X274" i="76"/>
  <c r="V274" i="76"/>
  <c r="U274" i="76"/>
  <c r="AK273" i="76"/>
  <c r="AJ273" i="76"/>
  <c r="Y273" i="76"/>
  <c r="X273" i="76"/>
  <c r="V273" i="76"/>
  <c r="U273" i="76"/>
  <c r="AK272" i="76"/>
  <c r="AJ272" i="76"/>
  <c r="AC262" i="76" s="1"/>
  <c r="AH262" i="76" s="1"/>
  <c r="Y272" i="76"/>
  <c r="X272" i="76"/>
  <c r="V272" i="76"/>
  <c r="U272" i="76"/>
  <c r="AK271" i="76"/>
  <c r="AJ271" i="76"/>
  <c r="AK270" i="76"/>
  <c r="AJ270" i="76"/>
  <c r="Y270" i="76"/>
  <c r="X270" i="76"/>
  <c r="V270" i="76"/>
  <c r="U270" i="76"/>
  <c r="AK269" i="76"/>
  <c r="AJ269" i="76"/>
  <c r="Y269" i="76"/>
  <c r="X269" i="76"/>
  <c r="V269" i="76"/>
  <c r="U269" i="76"/>
  <c r="AK268" i="76"/>
  <c r="AJ268" i="76"/>
  <c r="Y268" i="76"/>
  <c r="X268" i="76"/>
  <c r="V268" i="76"/>
  <c r="U268" i="76"/>
  <c r="AK267" i="76"/>
  <c r="AJ267" i="76"/>
  <c r="Y267" i="76"/>
  <c r="X267" i="76"/>
  <c r="V267" i="76"/>
  <c r="U267" i="76"/>
  <c r="AK266" i="76"/>
  <c r="AJ266" i="76"/>
  <c r="Y266" i="76"/>
  <c r="X266" i="76"/>
  <c r="V266" i="76"/>
  <c r="U266" i="76"/>
  <c r="AK265" i="76"/>
  <c r="AJ265" i="76"/>
  <c r="Y265" i="76"/>
  <c r="X265" i="76"/>
  <c r="V265" i="76"/>
  <c r="U265" i="76"/>
  <c r="AK264" i="76"/>
  <c r="AJ264" i="76"/>
  <c r="Y264" i="76"/>
  <c r="X264" i="76"/>
  <c r="V264" i="76"/>
  <c r="U264" i="76"/>
  <c r="AK263" i="76"/>
  <c r="AJ263" i="76"/>
  <c r="Y263" i="76"/>
  <c r="X263" i="76"/>
  <c r="V263" i="76"/>
  <c r="U263" i="76"/>
  <c r="AK262" i="76"/>
  <c r="AJ262" i="76"/>
  <c r="Y262" i="76"/>
  <c r="X262" i="76"/>
  <c r="V262" i="76"/>
  <c r="U262" i="76"/>
  <c r="AK261" i="76"/>
  <c r="AJ261" i="76"/>
  <c r="Y261" i="76"/>
  <c r="X261" i="76"/>
  <c r="V261" i="76"/>
  <c r="U261" i="76"/>
  <c r="AK260" i="76"/>
  <c r="AJ260" i="76"/>
  <c r="Y260" i="76"/>
  <c r="X260" i="76"/>
  <c r="V260" i="76"/>
  <c r="U260" i="76"/>
  <c r="AK259" i="76"/>
  <c r="AJ259" i="76"/>
  <c r="Y259" i="76"/>
  <c r="X259" i="76"/>
  <c r="V259" i="76"/>
  <c r="U259" i="76"/>
  <c r="AK258" i="76"/>
  <c r="AJ258" i="76"/>
  <c r="Y258" i="76"/>
  <c r="X258" i="76"/>
  <c r="V258" i="76"/>
  <c r="U258" i="76"/>
  <c r="W257" i="76"/>
  <c r="K257" i="76"/>
  <c r="F257" i="76"/>
  <c r="AK256" i="76"/>
  <c r="AJ256" i="76"/>
  <c r="Y256" i="76"/>
  <c r="X256" i="76"/>
  <c r="V256" i="76"/>
  <c r="U256" i="76"/>
  <c r="AK255" i="76"/>
  <c r="AJ255" i="76"/>
  <c r="AK254" i="76"/>
  <c r="AJ254" i="76"/>
  <c r="AK253" i="76"/>
  <c r="AJ253" i="76"/>
  <c r="Y253" i="76"/>
  <c r="X253" i="76"/>
  <c r="V253" i="76"/>
  <c r="U253" i="76"/>
  <c r="AK252" i="76"/>
  <c r="AJ252" i="76"/>
  <c r="Y252" i="76"/>
  <c r="X252" i="76"/>
  <c r="V252" i="76"/>
  <c r="U252" i="76"/>
  <c r="AK251" i="76"/>
  <c r="AJ251" i="76"/>
  <c r="Y251" i="76"/>
  <c r="X251" i="76"/>
  <c r="V251" i="76"/>
  <c r="U251" i="76"/>
  <c r="AK250" i="76"/>
  <c r="AJ250" i="76"/>
  <c r="AK249" i="76"/>
  <c r="AJ249" i="76"/>
  <c r="Y249" i="76"/>
  <c r="X249" i="76"/>
  <c r="V249" i="76"/>
  <c r="U249" i="76"/>
  <c r="AK248" i="76"/>
  <c r="AJ248" i="76"/>
  <c r="Y248" i="76"/>
  <c r="X248" i="76"/>
  <c r="V248" i="76"/>
  <c r="U248" i="76"/>
  <c r="AK247" i="76"/>
  <c r="AJ247" i="76"/>
  <c r="Y247" i="76"/>
  <c r="X247" i="76"/>
  <c r="V247" i="76"/>
  <c r="U247" i="76"/>
  <c r="AK246" i="76"/>
  <c r="AJ246" i="76"/>
  <c r="Y246" i="76"/>
  <c r="X246" i="76"/>
  <c r="V246" i="76"/>
  <c r="U246" i="76"/>
  <c r="AK245" i="76"/>
  <c r="AJ245" i="76"/>
  <c r="Y245" i="76"/>
  <c r="X245" i="76"/>
  <c r="V245" i="76"/>
  <c r="U245" i="76"/>
  <c r="AK244" i="76"/>
  <c r="AJ244" i="76"/>
  <c r="Y244" i="76"/>
  <c r="X244" i="76"/>
  <c r="V244" i="76"/>
  <c r="U244" i="76"/>
  <c r="AK243" i="76"/>
  <c r="AJ243" i="76"/>
  <c r="Y243" i="76"/>
  <c r="X243" i="76"/>
  <c r="V243" i="76"/>
  <c r="U243" i="76"/>
  <c r="AK242" i="76"/>
  <c r="AJ242" i="76"/>
  <c r="Y242" i="76"/>
  <c r="X242" i="76"/>
  <c r="V242" i="76"/>
  <c r="U242" i="76"/>
  <c r="AK241" i="76"/>
  <c r="AJ241" i="76"/>
  <c r="Y241" i="76"/>
  <c r="X241" i="76"/>
  <c r="V241" i="76"/>
  <c r="U241" i="76"/>
  <c r="AK240" i="76"/>
  <c r="AJ240" i="76"/>
  <c r="Y240" i="76"/>
  <c r="X240" i="76"/>
  <c r="V240" i="76"/>
  <c r="U240" i="76"/>
  <c r="AK239" i="76"/>
  <c r="AJ239" i="76"/>
  <c r="Y239" i="76"/>
  <c r="X239" i="76"/>
  <c r="V239" i="76"/>
  <c r="U239" i="76"/>
  <c r="AK238" i="76"/>
  <c r="AJ238" i="76"/>
  <c r="Y238" i="76"/>
  <c r="X238" i="76"/>
  <c r="V238" i="76"/>
  <c r="U238" i="76"/>
  <c r="AK237" i="76"/>
  <c r="AJ237" i="76"/>
  <c r="Y237" i="76"/>
  <c r="X237" i="76"/>
  <c r="V237" i="76"/>
  <c r="U237" i="76"/>
  <c r="AK236" i="76"/>
  <c r="W236" i="76"/>
  <c r="K236" i="76"/>
  <c r="F236" i="76"/>
  <c r="AK235" i="76"/>
  <c r="AJ235" i="76"/>
  <c r="Y235" i="76"/>
  <c r="X235" i="76"/>
  <c r="V235" i="76"/>
  <c r="U235" i="76"/>
  <c r="AK234" i="76"/>
  <c r="AJ234" i="76"/>
  <c r="AK233" i="76"/>
  <c r="AJ233" i="76"/>
  <c r="AK232" i="76"/>
  <c r="AJ232" i="76"/>
  <c r="Y232" i="76"/>
  <c r="X232" i="76"/>
  <c r="V232" i="76"/>
  <c r="U232" i="76"/>
  <c r="AK231" i="76"/>
  <c r="AJ231" i="76"/>
  <c r="Y231" i="76"/>
  <c r="X231" i="76"/>
  <c r="V231" i="76"/>
  <c r="U231" i="76"/>
  <c r="AK230" i="76"/>
  <c r="AJ230" i="76"/>
  <c r="Y230" i="76"/>
  <c r="X230" i="76"/>
  <c r="V230" i="76"/>
  <c r="U230" i="76"/>
  <c r="AK229" i="76"/>
  <c r="AJ229" i="76"/>
  <c r="AK228" i="76"/>
  <c r="AJ228" i="76"/>
  <c r="Y228" i="76"/>
  <c r="X228" i="76"/>
  <c r="V228" i="76"/>
  <c r="U228" i="76"/>
  <c r="AK227" i="76"/>
  <c r="AJ227" i="76"/>
  <c r="Y227" i="76"/>
  <c r="X227" i="76"/>
  <c r="V227" i="76"/>
  <c r="U227" i="76"/>
  <c r="AK226" i="76"/>
  <c r="AJ226" i="76"/>
  <c r="Y226" i="76"/>
  <c r="X226" i="76"/>
  <c r="V226" i="76"/>
  <c r="U226" i="76"/>
  <c r="AK225" i="76"/>
  <c r="AJ225" i="76"/>
  <c r="Y225" i="76"/>
  <c r="X225" i="76"/>
  <c r="V225" i="76"/>
  <c r="U225" i="76"/>
  <c r="AK224" i="76"/>
  <c r="AJ224" i="76"/>
  <c r="Y224" i="76"/>
  <c r="X224" i="76"/>
  <c r="V224" i="76"/>
  <c r="U224" i="76"/>
  <c r="AK223" i="76"/>
  <c r="AJ223" i="76"/>
  <c r="Y223" i="76"/>
  <c r="X223" i="76"/>
  <c r="V223" i="76"/>
  <c r="U223" i="76"/>
  <c r="AK222" i="76"/>
  <c r="AJ222" i="76"/>
  <c r="Y222" i="76"/>
  <c r="X222" i="76"/>
  <c r="V222" i="76"/>
  <c r="U222" i="76"/>
  <c r="AK221" i="76"/>
  <c r="AJ221" i="76"/>
  <c r="Y221" i="76"/>
  <c r="X221" i="76"/>
  <c r="V221" i="76"/>
  <c r="U221" i="76"/>
  <c r="AK220" i="76"/>
  <c r="AJ220" i="76"/>
  <c r="Y220" i="76"/>
  <c r="X220" i="76"/>
  <c r="V220" i="76"/>
  <c r="U220" i="76"/>
  <c r="AK219" i="76"/>
  <c r="AJ219" i="76"/>
  <c r="Y219" i="76"/>
  <c r="X219" i="76"/>
  <c r="V219" i="76"/>
  <c r="U219" i="76"/>
  <c r="AK218" i="76"/>
  <c r="AJ218" i="76"/>
  <c r="Y218" i="76"/>
  <c r="X218" i="76"/>
  <c r="V218" i="76"/>
  <c r="U218" i="76"/>
  <c r="AK217" i="76"/>
  <c r="AJ217" i="76"/>
  <c r="Y217" i="76"/>
  <c r="X217" i="76"/>
  <c r="V217" i="76"/>
  <c r="U217" i="76"/>
  <c r="AK216" i="76"/>
  <c r="AJ216" i="76"/>
  <c r="Y216" i="76"/>
  <c r="X216" i="76"/>
  <c r="V216" i="76"/>
  <c r="U216" i="76"/>
  <c r="AK215" i="76"/>
  <c r="W215" i="76"/>
  <c r="K215" i="76"/>
  <c r="F215" i="76"/>
  <c r="AK214" i="76"/>
  <c r="AJ214" i="76"/>
  <c r="Y214" i="76"/>
  <c r="X214" i="76"/>
  <c r="V214" i="76"/>
  <c r="U214" i="76"/>
  <c r="AK213" i="76"/>
  <c r="AJ213" i="76"/>
  <c r="AK212" i="76"/>
  <c r="AJ212" i="76"/>
  <c r="AK211" i="76"/>
  <c r="AJ211" i="76"/>
  <c r="Y211" i="76"/>
  <c r="X211" i="76"/>
  <c r="V211" i="76"/>
  <c r="U211" i="76"/>
  <c r="AK210" i="76"/>
  <c r="AJ210" i="76"/>
  <c r="Y210" i="76"/>
  <c r="X210" i="76"/>
  <c r="V210" i="76"/>
  <c r="U210" i="76"/>
  <c r="AK209" i="76"/>
  <c r="AJ209" i="76"/>
  <c r="Y209" i="76"/>
  <c r="Y215" i="76" s="1"/>
  <c r="X209" i="76"/>
  <c r="V209" i="76"/>
  <c r="U209" i="76"/>
  <c r="AK208" i="76"/>
  <c r="AJ208" i="76"/>
  <c r="AK207" i="76"/>
  <c r="AJ207" i="76"/>
  <c r="Y207" i="76"/>
  <c r="X207" i="76"/>
  <c r="V207" i="76"/>
  <c r="U207" i="76"/>
  <c r="AK206" i="76"/>
  <c r="AJ206" i="76"/>
  <c r="Y206" i="76"/>
  <c r="X206" i="76"/>
  <c r="V206" i="76"/>
  <c r="U206" i="76"/>
  <c r="AK205" i="76"/>
  <c r="AJ205" i="76"/>
  <c r="Y205" i="76"/>
  <c r="X205" i="76"/>
  <c r="V205" i="76"/>
  <c r="U205" i="76"/>
  <c r="AK204" i="76"/>
  <c r="AJ204" i="76"/>
  <c r="Y204" i="76"/>
  <c r="X204" i="76"/>
  <c r="V204" i="76"/>
  <c r="U204" i="76"/>
  <c r="AK203" i="76"/>
  <c r="AJ203" i="76"/>
  <c r="Y203" i="76"/>
  <c r="X203" i="76"/>
  <c r="V203" i="76"/>
  <c r="U203" i="76"/>
  <c r="AK202" i="76"/>
  <c r="AJ202" i="76"/>
  <c r="Y202" i="76"/>
  <c r="X202" i="76"/>
  <c r="V202" i="76"/>
  <c r="U202" i="76"/>
  <c r="AK201" i="76"/>
  <c r="AJ201" i="76"/>
  <c r="Y201" i="76"/>
  <c r="X201" i="76"/>
  <c r="V201" i="76"/>
  <c r="U201" i="76"/>
  <c r="AK200" i="76"/>
  <c r="AJ200" i="76"/>
  <c r="Y200" i="76"/>
  <c r="X200" i="76"/>
  <c r="V200" i="76"/>
  <c r="U200" i="76"/>
  <c r="AK199" i="76"/>
  <c r="AJ199" i="76"/>
  <c r="Y199" i="76"/>
  <c r="X199" i="76"/>
  <c r="V199" i="76"/>
  <c r="U199" i="76"/>
  <c r="AK198" i="76"/>
  <c r="AJ198" i="76"/>
  <c r="Y198" i="76"/>
  <c r="X198" i="76"/>
  <c r="V198" i="76"/>
  <c r="U198" i="76"/>
  <c r="AK197" i="76"/>
  <c r="AJ197" i="76"/>
  <c r="Y197" i="76"/>
  <c r="X197" i="76"/>
  <c r="V197" i="76"/>
  <c r="U197" i="76"/>
  <c r="AK196" i="76"/>
  <c r="AD205" i="76" s="1"/>
  <c r="AI205" i="76" s="1"/>
  <c r="AJ196" i="76"/>
  <c r="Y196" i="76"/>
  <c r="X196" i="76"/>
  <c r="V196" i="76"/>
  <c r="U196" i="76"/>
  <c r="AK195" i="76"/>
  <c r="AJ195" i="76"/>
  <c r="Y195" i="76"/>
  <c r="X195" i="76"/>
  <c r="V195" i="76"/>
  <c r="U195" i="76"/>
  <c r="AK194" i="76"/>
  <c r="W194" i="76"/>
  <c r="K194" i="76"/>
  <c r="F194" i="76"/>
  <c r="AK193" i="76"/>
  <c r="AJ193" i="76"/>
  <c r="Y193" i="76"/>
  <c r="X193" i="76"/>
  <c r="V193" i="76"/>
  <c r="U193" i="76"/>
  <c r="AK192" i="76"/>
  <c r="AJ192" i="76"/>
  <c r="AK191" i="76"/>
  <c r="AJ191" i="76"/>
  <c r="AK190" i="76"/>
  <c r="AJ190" i="76"/>
  <c r="Y190" i="76"/>
  <c r="X190" i="76"/>
  <c r="V190" i="76"/>
  <c r="U190" i="76"/>
  <c r="AK189" i="76"/>
  <c r="AJ189" i="76"/>
  <c r="AK188" i="76"/>
  <c r="AJ188" i="76"/>
  <c r="Y188" i="76"/>
  <c r="X188" i="76"/>
  <c r="V188" i="76"/>
  <c r="U188" i="76"/>
  <c r="AK187" i="76"/>
  <c r="AJ187" i="76"/>
  <c r="AK186" i="76"/>
  <c r="AJ186" i="76"/>
  <c r="Y186" i="76"/>
  <c r="X186" i="76"/>
  <c r="V186" i="76"/>
  <c r="U186" i="76"/>
  <c r="AK185" i="76"/>
  <c r="AJ185" i="76"/>
  <c r="Y185" i="76"/>
  <c r="X185" i="76"/>
  <c r="V185" i="76"/>
  <c r="U185" i="76"/>
  <c r="AK184" i="76"/>
  <c r="AJ184" i="76"/>
  <c r="Y184" i="76"/>
  <c r="X184" i="76"/>
  <c r="V184" i="76"/>
  <c r="U184" i="76"/>
  <c r="AK183" i="76"/>
  <c r="AJ183" i="76"/>
  <c r="Y183" i="76"/>
  <c r="X183" i="76"/>
  <c r="V183" i="76"/>
  <c r="U183" i="76"/>
  <c r="AK182" i="76"/>
  <c r="AJ182" i="76"/>
  <c r="Y182" i="76"/>
  <c r="X182" i="76"/>
  <c r="V182" i="76"/>
  <c r="U182" i="76"/>
  <c r="AK181" i="76"/>
  <c r="AJ181" i="76"/>
  <c r="Y181" i="76"/>
  <c r="X181" i="76"/>
  <c r="V181" i="76"/>
  <c r="U181" i="76"/>
  <c r="AK180" i="76"/>
  <c r="AJ180" i="76"/>
  <c r="Y180" i="76"/>
  <c r="X180" i="76"/>
  <c r="V180" i="76"/>
  <c r="U180" i="76"/>
  <c r="AK179" i="76"/>
  <c r="AJ179" i="76"/>
  <c r="Y179" i="76"/>
  <c r="X179" i="76"/>
  <c r="V179" i="76"/>
  <c r="U179" i="76"/>
  <c r="AK178" i="76"/>
  <c r="AJ178" i="76"/>
  <c r="Y178" i="76"/>
  <c r="X178" i="76"/>
  <c r="V178" i="76"/>
  <c r="U178" i="76"/>
  <c r="AK177" i="76"/>
  <c r="AJ177" i="76"/>
  <c r="Y177" i="76"/>
  <c r="X177" i="76"/>
  <c r="V177" i="76"/>
  <c r="U177" i="76"/>
  <c r="AK176" i="76"/>
  <c r="AJ176" i="76"/>
  <c r="Y176" i="76"/>
  <c r="X176" i="76"/>
  <c r="V176" i="76"/>
  <c r="U176" i="76"/>
  <c r="AK175" i="76"/>
  <c r="AJ175" i="76"/>
  <c r="Y175" i="76"/>
  <c r="X175" i="76"/>
  <c r="V175" i="76"/>
  <c r="U175" i="76"/>
  <c r="AK174" i="76"/>
  <c r="AJ174" i="76"/>
  <c r="Y174" i="76"/>
  <c r="X174" i="76"/>
  <c r="V174" i="76"/>
  <c r="U174" i="76"/>
  <c r="AK173" i="76"/>
  <c r="W173" i="76"/>
  <c r="K173" i="76"/>
  <c r="F173" i="76"/>
  <c r="AK172" i="76"/>
  <c r="AJ172" i="76"/>
  <c r="Y172" i="76"/>
  <c r="X172" i="76"/>
  <c r="V172" i="76"/>
  <c r="U172" i="76"/>
  <c r="AK171" i="76"/>
  <c r="AJ171" i="76"/>
  <c r="AK170" i="76"/>
  <c r="AJ170" i="76"/>
  <c r="AK169" i="76"/>
  <c r="AJ169" i="76"/>
  <c r="Y169" i="76"/>
  <c r="X169" i="76"/>
  <c r="V169" i="76"/>
  <c r="U169" i="76"/>
  <c r="AK168" i="76"/>
  <c r="AJ168" i="76"/>
  <c r="AK167" i="76"/>
  <c r="AJ167" i="76"/>
  <c r="Y167" i="76"/>
  <c r="Y173" i="76" s="1"/>
  <c r="X167" i="76"/>
  <c r="V167" i="76"/>
  <c r="U167" i="76"/>
  <c r="AK166" i="76"/>
  <c r="AJ166" i="76"/>
  <c r="AK165" i="76"/>
  <c r="AJ165" i="76"/>
  <c r="Y165" i="76"/>
  <c r="X165" i="76"/>
  <c r="V165" i="76"/>
  <c r="U165" i="76"/>
  <c r="AK164" i="76"/>
  <c r="AJ164" i="76"/>
  <c r="Y164" i="76"/>
  <c r="X164" i="76"/>
  <c r="V164" i="76"/>
  <c r="U164" i="76"/>
  <c r="AK163" i="76"/>
  <c r="AJ163" i="76"/>
  <c r="Y163" i="76"/>
  <c r="X163" i="76"/>
  <c r="V163" i="76"/>
  <c r="U163" i="76"/>
  <c r="AK162" i="76"/>
  <c r="AJ162" i="76"/>
  <c r="Y162" i="76"/>
  <c r="X162" i="76"/>
  <c r="V162" i="76"/>
  <c r="U162" i="76"/>
  <c r="AK161" i="76"/>
  <c r="AJ161" i="76"/>
  <c r="Y161" i="76"/>
  <c r="X161" i="76"/>
  <c r="V161" i="76"/>
  <c r="U161" i="76"/>
  <c r="AK160" i="76"/>
  <c r="AJ160" i="76"/>
  <c r="Y160" i="76"/>
  <c r="X160" i="76"/>
  <c r="V160" i="76"/>
  <c r="U160" i="76"/>
  <c r="AK159" i="76"/>
  <c r="AJ159" i="76"/>
  <c r="Y159" i="76"/>
  <c r="X159" i="76"/>
  <c r="V159" i="76"/>
  <c r="U159" i="76"/>
  <c r="AK158" i="76"/>
  <c r="AJ158" i="76"/>
  <c r="Y158" i="76"/>
  <c r="X158" i="76"/>
  <c r="V158" i="76"/>
  <c r="U158" i="76"/>
  <c r="AK157" i="76"/>
  <c r="AJ157" i="76"/>
  <c r="Y157" i="76"/>
  <c r="X157" i="76"/>
  <c r="V157" i="76"/>
  <c r="U157" i="76"/>
  <c r="AK156" i="76"/>
  <c r="AJ156" i="76"/>
  <c r="Y156" i="76"/>
  <c r="X156" i="76"/>
  <c r="V156" i="76"/>
  <c r="U156" i="76"/>
  <c r="AK155" i="76"/>
  <c r="AJ155" i="76"/>
  <c r="Y155" i="76"/>
  <c r="X155" i="76"/>
  <c r="V155" i="76"/>
  <c r="U155" i="76"/>
  <c r="AK154" i="76"/>
  <c r="AJ154" i="76"/>
  <c r="Y154" i="76"/>
  <c r="X154" i="76"/>
  <c r="V154" i="76"/>
  <c r="U154" i="76"/>
  <c r="AK153" i="76"/>
  <c r="AJ153" i="76"/>
  <c r="Y153" i="76"/>
  <c r="X153" i="76"/>
  <c r="V153" i="76"/>
  <c r="U153" i="76"/>
  <c r="AK152" i="76"/>
  <c r="W152" i="76"/>
  <c r="K152" i="76"/>
  <c r="F152" i="76"/>
  <c r="AK151" i="76"/>
  <c r="AJ151" i="76"/>
  <c r="Y151" i="76"/>
  <c r="X151" i="76"/>
  <c r="V151" i="76"/>
  <c r="U151" i="76"/>
  <c r="AK150" i="76"/>
  <c r="AJ150" i="76"/>
  <c r="AK149" i="76"/>
  <c r="AJ149" i="76"/>
  <c r="AK148" i="76"/>
  <c r="AJ148" i="76"/>
  <c r="Y148" i="76"/>
  <c r="X148" i="76"/>
  <c r="V148" i="76"/>
  <c r="U148" i="76"/>
  <c r="AK147" i="76"/>
  <c r="AJ147" i="76"/>
  <c r="AK146" i="76"/>
  <c r="AJ146" i="76"/>
  <c r="Y146" i="76"/>
  <c r="X146" i="76"/>
  <c r="V146" i="76"/>
  <c r="U146" i="76"/>
  <c r="AK145" i="76"/>
  <c r="AJ145" i="76"/>
  <c r="AK144" i="76"/>
  <c r="AJ144" i="76"/>
  <c r="Y144" i="76"/>
  <c r="X144" i="76"/>
  <c r="V144" i="76"/>
  <c r="U144" i="76"/>
  <c r="AK143" i="76"/>
  <c r="AJ143" i="76"/>
  <c r="Y143" i="76"/>
  <c r="X143" i="76"/>
  <c r="V143" i="76"/>
  <c r="U143" i="76"/>
  <c r="AK142" i="76"/>
  <c r="AJ142" i="76"/>
  <c r="Y142" i="76"/>
  <c r="X142" i="76"/>
  <c r="V142" i="76"/>
  <c r="U142" i="76"/>
  <c r="AK141" i="76"/>
  <c r="AJ141" i="76"/>
  <c r="Y141" i="76"/>
  <c r="X141" i="76"/>
  <c r="V141" i="76"/>
  <c r="U141" i="76"/>
  <c r="AK140" i="76"/>
  <c r="AJ140" i="76"/>
  <c r="Y140" i="76"/>
  <c r="X140" i="76"/>
  <c r="V140" i="76"/>
  <c r="U140" i="76"/>
  <c r="AK139" i="76"/>
  <c r="AJ139" i="76"/>
  <c r="Y139" i="76"/>
  <c r="X139" i="76"/>
  <c r="V139" i="76"/>
  <c r="U139" i="76"/>
  <c r="AK138" i="76"/>
  <c r="AJ138" i="76"/>
  <c r="Y138" i="76"/>
  <c r="X138" i="76"/>
  <c r="V138" i="76"/>
  <c r="U138" i="76"/>
  <c r="AK137" i="76"/>
  <c r="AJ137" i="76"/>
  <c r="Y137" i="76"/>
  <c r="X137" i="76"/>
  <c r="V137" i="76"/>
  <c r="U137" i="76"/>
  <c r="AK136" i="76"/>
  <c r="AJ136" i="76"/>
  <c r="Y136" i="76"/>
  <c r="X136" i="76"/>
  <c r="V136" i="76"/>
  <c r="U136" i="76"/>
  <c r="AK135" i="76"/>
  <c r="AJ135" i="76"/>
  <c r="Y135" i="76"/>
  <c r="X135" i="76"/>
  <c r="V135" i="76"/>
  <c r="U135" i="76"/>
  <c r="AK134" i="76"/>
  <c r="AJ134" i="76"/>
  <c r="Y134" i="76"/>
  <c r="X134" i="76"/>
  <c r="V134" i="76"/>
  <c r="U134" i="76"/>
  <c r="AK133" i="76"/>
  <c r="AJ133" i="76"/>
  <c r="Y133" i="76"/>
  <c r="X133" i="76"/>
  <c r="V133" i="76"/>
  <c r="U133" i="76"/>
  <c r="AK132" i="76"/>
  <c r="AJ132" i="76"/>
  <c r="Y132" i="76"/>
  <c r="X132" i="76"/>
  <c r="V132" i="76"/>
  <c r="U132" i="76"/>
  <c r="AK131" i="76"/>
  <c r="W131" i="76"/>
  <c r="K131" i="76"/>
  <c r="AK130" i="76"/>
  <c r="AJ130" i="76"/>
  <c r="Y130" i="76"/>
  <c r="X130" i="76"/>
  <c r="V130" i="76"/>
  <c r="U130" i="76"/>
  <c r="AK129" i="76"/>
  <c r="AJ129" i="76"/>
  <c r="AK128" i="76"/>
  <c r="AJ128" i="76"/>
  <c r="AK127" i="76"/>
  <c r="AJ127" i="76"/>
  <c r="AK126" i="76"/>
  <c r="AJ126" i="76"/>
  <c r="AK125" i="76"/>
  <c r="AJ125" i="76"/>
  <c r="Y125" i="76"/>
  <c r="X125" i="76"/>
  <c r="V125" i="76"/>
  <c r="U125" i="76"/>
  <c r="AK124" i="76"/>
  <c r="AJ124" i="76"/>
  <c r="AK123" i="76"/>
  <c r="AJ123" i="76"/>
  <c r="Y123" i="76"/>
  <c r="X123" i="76"/>
  <c r="V123" i="76"/>
  <c r="U123" i="76"/>
  <c r="AK122" i="76"/>
  <c r="AJ122" i="76"/>
  <c r="Y122" i="76"/>
  <c r="X122" i="76"/>
  <c r="V122" i="76"/>
  <c r="U122" i="76"/>
  <c r="AK121" i="76"/>
  <c r="AJ121" i="76"/>
  <c r="Y121" i="76"/>
  <c r="X121" i="76"/>
  <c r="V121" i="76"/>
  <c r="U121" i="76"/>
  <c r="AK120" i="76"/>
  <c r="AJ120" i="76"/>
  <c r="Y120" i="76"/>
  <c r="X120" i="76"/>
  <c r="V120" i="76"/>
  <c r="AK119" i="76"/>
  <c r="AJ119" i="76"/>
  <c r="Y119" i="76"/>
  <c r="X119" i="76"/>
  <c r="V119" i="76"/>
  <c r="U119" i="76"/>
  <c r="AK118" i="76"/>
  <c r="AJ118" i="76"/>
  <c r="Y118" i="76"/>
  <c r="X118" i="76"/>
  <c r="V118" i="76"/>
  <c r="U118" i="76"/>
  <c r="AK117" i="76"/>
  <c r="AJ117" i="76"/>
  <c r="Y117" i="76"/>
  <c r="X117" i="76"/>
  <c r="V117" i="76"/>
  <c r="U117" i="76"/>
  <c r="AK116" i="76"/>
  <c r="AJ116" i="76"/>
  <c r="Y116" i="76"/>
  <c r="X116" i="76"/>
  <c r="V116" i="76"/>
  <c r="U116" i="76"/>
  <c r="AK115" i="76"/>
  <c r="AJ115" i="76"/>
  <c r="Y115" i="76"/>
  <c r="X115" i="76"/>
  <c r="V115" i="76"/>
  <c r="U115" i="76"/>
  <c r="AK114" i="76"/>
  <c r="AJ114" i="76"/>
  <c r="Y114" i="76"/>
  <c r="X114" i="76"/>
  <c r="V114" i="76"/>
  <c r="U114" i="76"/>
  <c r="AK113" i="76"/>
  <c r="AJ113" i="76"/>
  <c r="Y113" i="76"/>
  <c r="X113" i="76"/>
  <c r="V113" i="76"/>
  <c r="U113" i="76"/>
  <c r="AK112" i="76"/>
  <c r="AJ112" i="76"/>
  <c r="Y112" i="76"/>
  <c r="X112" i="76"/>
  <c r="V112" i="76"/>
  <c r="U112" i="76"/>
  <c r="AK111" i="76"/>
  <c r="AJ111" i="76"/>
  <c r="Y111" i="76"/>
  <c r="X111" i="76"/>
  <c r="V111" i="76"/>
  <c r="U111" i="76"/>
  <c r="AK110" i="76"/>
  <c r="W110" i="76"/>
  <c r="AK109" i="76"/>
  <c r="AJ109" i="76"/>
  <c r="Y109" i="76"/>
  <c r="X109" i="76"/>
  <c r="V109" i="76"/>
  <c r="U109" i="76"/>
  <c r="AK108" i="76"/>
  <c r="AJ108" i="76"/>
  <c r="AK107" i="76"/>
  <c r="AJ107" i="76"/>
  <c r="AK106" i="76"/>
  <c r="AJ106" i="76"/>
  <c r="Y106" i="76"/>
  <c r="X106" i="76"/>
  <c r="V106" i="76"/>
  <c r="U106" i="76"/>
  <c r="AK105" i="76"/>
  <c r="AJ105" i="76"/>
  <c r="AK104" i="76"/>
  <c r="AJ104" i="76"/>
  <c r="Y104" i="76"/>
  <c r="X104" i="76"/>
  <c r="V104" i="76"/>
  <c r="U104" i="76"/>
  <c r="AK103" i="76"/>
  <c r="AJ103" i="76"/>
  <c r="AK102" i="76"/>
  <c r="AJ102" i="76"/>
  <c r="Y102" i="76"/>
  <c r="X102" i="76"/>
  <c r="V102" i="76"/>
  <c r="U102" i="76"/>
  <c r="AK101" i="76"/>
  <c r="AJ101" i="76"/>
  <c r="Y101" i="76"/>
  <c r="X101" i="76"/>
  <c r="V101" i="76"/>
  <c r="U101" i="76"/>
  <c r="AK100" i="76"/>
  <c r="AJ100" i="76"/>
  <c r="Y100" i="76"/>
  <c r="X100" i="76"/>
  <c r="V100" i="76"/>
  <c r="U100" i="76"/>
  <c r="AK99" i="76"/>
  <c r="AJ99" i="76"/>
  <c r="Y99" i="76"/>
  <c r="X99" i="76"/>
  <c r="V99" i="76"/>
  <c r="U99" i="76"/>
  <c r="AK98" i="76"/>
  <c r="AJ98" i="76"/>
  <c r="Y98" i="76"/>
  <c r="X98" i="76"/>
  <c r="V98" i="76"/>
  <c r="U98" i="76"/>
  <c r="AK97" i="76"/>
  <c r="AJ97" i="76"/>
  <c r="Y97" i="76"/>
  <c r="X97" i="76"/>
  <c r="V97" i="76"/>
  <c r="U97" i="76"/>
  <c r="AK96" i="76"/>
  <c r="AJ96" i="76"/>
  <c r="Y96" i="76"/>
  <c r="X96" i="76"/>
  <c r="V96" i="76"/>
  <c r="U96" i="76"/>
  <c r="AK95" i="76"/>
  <c r="AJ95" i="76"/>
  <c r="Y95" i="76"/>
  <c r="X95" i="76"/>
  <c r="V95" i="76"/>
  <c r="U95" i="76"/>
  <c r="AK94" i="76"/>
  <c r="AJ94" i="76"/>
  <c r="Y94" i="76"/>
  <c r="X94" i="76"/>
  <c r="V94" i="76"/>
  <c r="U94" i="76"/>
  <c r="AK93" i="76"/>
  <c r="AJ93" i="76"/>
  <c r="Y93" i="76"/>
  <c r="X93" i="76"/>
  <c r="V93" i="76"/>
  <c r="U93" i="76"/>
  <c r="AK92" i="76"/>
  <c r="AJ92" i="76"/>
  <c r="Y92" i="76"/>
  <c r="X92" i="76"/>
  <c r="V92" i="76"/>
  <c r="U92" i="76"/>
  <c r="AK91" i="76"/>
  <c r="AJ91" i="76"/>
  <c r="Y91" i="76"/>
  <c r="X91" i="76"/>
  <c r="V91" i="76"/>
  <c r="U91" i="76"/>
  <c r="AK90" i="76"/>
  <c r="AJ90" i="76"/>
  <c r="Y90" i="76"/>
  <c r="X90" i="76"/>
  <c r="V90" i="76"/>
  <c r="U90" i="76"/>
  <c r="AK89" i="76"/>
  <c r="W89" i="76"/>
  <c r="AK88" i="76"/>
  <c r="AJ88" i="76"/>
  <c r="Y88" i="76"/>
  <c r="X88" i="76"/>
  <c r="V88" i="76"/>
  <c r="U88" i="76"/>
  <c r="AK87" i="76"/>
  <c r="AJ87" i="76"/>
  <c r="AK86" i="76"/>
  <c r="AJ86" i="76"/>
  <c r="AK85" i="76"/>
  <c r="AJ85" i="76"/>
  <c r="Y85" i="76"/>
  <c r="X85" i="76"/>
  <c r="V85" i="76"/>
  <c r="U85" i="76"/>
  <c r="AK84" i="76"/>
  <c r="AJ84" i="76"/>
  <c r="AK83" i="76"/>
  <c r="AJ83" i="76"/>
  <c r="Y83" i="76"/>
  <c r="X83" i="76"/>
  <c r="V83" i="76"/>
  <c r="U83" i="76"/>
  <c r="AK82" i="76"/>
  <c r="AJ82" i="76"/>
  <c r="AK81" i="76"/>
  <c r="AJ81" i="76"/>
  <c r="Y81" i="76"/>
  <c r="X81" i="76"/>
  <c r="V81" i="76"/>
  <c r="U81" i="76"/>
  <c r="AK80" i="76"/>
  <c r="AJ80" i="76"/>
  <c r="Y80" i="76"/>
  <c r="X80" i="76"/>
  <c r="V80" i="76"/>
  <c r="U80" i="76"/>
  <c r="AK79" i="76"/>
  <c r="AJ79" i="76"/>
  <c r="Y79" i="76"/>
  <c r="X79" i="76"/>
  <c r="V79" i="76"/>
  <c r="U79" i="76"/>
  <c r="AK78" i="76"/>
  <c r="AJ78" i="76"/>
  <c r="Y78" i="76"/>
  <c r="X78" i="76"/>
  <c r="V78" i="76"/>
  <c r="U78" i="76"/>
  <c r="AK77" i="76"/>
  <c r="AJ77" i="76"/>
  <c r="Y77" i="76"/>
  <c r="X77" i="76"/>
  <c r="V77" i="76"/>
  <c r="U77" i="76"/>
  <c r="AK76" i="76"/>
  <c r="AJ76" i="76"/>
  <c r="Y76" i="76"/>
  <c r="X76" i="76"/>
  <c r="V76" i="76"/>
  <c r="U76" i="76"/>
  <c r="AK75" i="76"/>
  <c r="AJ75" i="76"/>
  <c r="Y75" i="76"/>
  <c r="X75" i="76"/>
  <c r="V75" i="76"/>
  <c r="U75" i="76"/>
  <c r="AK74" i="76"/>
  <c r="AJ74" i="76"/>
  <c r="Y74" i="76"/>
  <c r="X74" i="76"/>
  <c r="V74" i="76"/>
  <c r="U74" i="76"/>
  <c r="AK73" i="76"/>
  <c r="AJ73" i="76"/>
  <c r="Y73" i="76"/>
  <c r="X73" i="76"/>
  <c r="V73" i="76"/>
  <c r="U73" i="76"/>
  <c r="AK72" i="76"/>
  <c r="AJ72" i="76"/>
  <c r="Y72" i="76"/>
  <c r="X72" i="76"/>
  <c r="V72" i="76"/>
  <c r="U72" i="76"/>
  <c r="AK71" i="76"/>
  <c r="AJ71" i="76"/>
  <c r="Y71" i="76"/>
  <c r="X71" i="76"/>
  <c r="V71" i="76"/>
  <c r="U71" i="76"/>
  <c r="AK70" i="76"/>
  <c r="AJ70" i="76"/>
  <c r="Y70" i="76"/>
  <c r="X70" i="76"/>
  <c r="V70" i="76"/>
  <c r="U70" i="76"/>
  <c r="AK69" i="76"/>
  <c r="AJ69" i="76"/>
  <c r="Y69" i="76"/>
  <c r="X69" i="76"/>
  <c r="V69" i="76"/>
  <c r="U69" i="76"/>
  <c r="AK68" i="76"/>
  <c r="W68" i="76"/>
  <c r="AK67" i="76"/>
  <c r="AJ67" i="76"/>
  <c r="Y67" i="76"/>
  <c r="X67" i="76"/>
  <c r="V67" i="76"/>
  <c r="U67" i="76"/>
  <c r="AK66" i="76"/>
  <c r="AJ66" i="76"/>
  <c r="AK65" i="76"/>
  <c r="AJ65" i="76"/>
  <c r="AK64" i="76"/>
  <c r="AJ64" i="76"/>
  <c r="Y64" i="76"/>
  <c r="X64" i="76"/>
  <c r="V64" i="76"/>
  <c r="U64" i="76"/>
  <c r="AK63" i="76"/>
  <c r="AJ63" i="76"/>
  <c r="X63" i="76"/>
  <c r="AK62" i="76"/>
  <c r="AJ62" i="76"/>
  <c r="Y62" i="76"/>
  <c r="X62" i="76"/>
  <c r="V62" i="76"/>
  <c r="U62" i="76"/>
  <c r="AK61" i="76"/>
  <c r="AJ61" i="76"/>
  <c r="AK60" i="76"/>
  <c r="AJ60" i="76"/>
  <c r="Y60" i="76"/>
  <c r="X60" i="76"/>
  <c r="V60" i="76"/>
  <c r="U60" i="76"/>
  <c r="AK59" i="76"/>
  <c r="AJ59" i="76"/>
  <c r="Y59" i="76"/>
  <c r="X59" i="76"/>
  <c r="V59" i="76"/>
  <c r="U59" i="76"/>
  <c r="AK58" i="76"/>
  <c r="AJ58" i="76"/>
  <c r="Y58" i="76"/>
  <c r="X58" i="76"/>
  <c r="V58" i="76"/>
  <c r="U58" i="76"/>
  <c r="AK57" i="76"/>
  <c r="AJ57" i="76"/>
  <c r="Y57" i="76"/>
  <c r="X57" i="76"/>
  <c r="V57" i="76"/>
  <c r="U57" i="76"/>
  <c r="AK56" i="76"/>
  <c r="AJ56" i="76"/>
  <c r="Y56" i="76"/>
  <c r="X56" i="76"/>
  <c r="V56" i="76"/>
  <c r="U56" i="76"/>
  <c r="AK55" i="76"/>
  <c r="AJ55" i="76"/>
  <c r="Y55" i="76"/>
  <c r="X55" i="76"/>
  <c r="V55" i="76"/>
  <c r="U55" i="76"/>
  <c r="AK54" i="76"/>
  <c r="AJ54" i="76"/>
  <c r="Y54" i="76"/>
  <c r="X54" i="76"/>
  <c r="V54" i="76"/>
  <c r="U54" i="76"/>
  <c r="AK53" i="76"/>
  <c r="AJ53" i="76"/>
  <c r="Y53" i="76"/>
  <c r="X53" i="76"/>
  <c r="V53" i="76"/>
  <c r="U53" i="76"/>
  <c r="AK52" i="76"/>
  <c r="AJ52" i="76"/>
  <c r="Y52" i="76"/>
  <c r="X52" i="76"/>
  <c r="V52" i="76"/>
  <c r="U52" i="76"/>
  <c r="AK51" i="76"/>
  <c r="AJ51" i="76"/>
  <c r="Y51" i="76"/>
  <c r="X51" i="76"/>
  <c r="V51" i="76"/>
  <c r="U51" i="76"/>
  <c r="AK50" i="76"/>
  <c r="AJ50" i="76"/>
  <c r="Y50" i="76"/>
  <c r="X50" i="76"/>
  <c r="V50" i="76"/>
  <c r="U50" i="76"/>
  <c r="AK49" i="76"/>
  <c r="AJ49" i="76"/>
  <c r="Y49" i="76"/>
  <c r="X49" i="76"/>
  <c r="V49" i="76"/>
  <c r="U49" i="76"/>
  <c r="AK48" i="76"/>
  <c r="AJ48" i="76"/>
  <c r="Y48" i="76"/>
  <c r="X48" i="76"/>
  <c r="V48" i="76"/>
  <c r="U48" i="76"/>
  <c r="AK47" i="76"/>
  <c r="W47" i="76"/>
  <c r="AK46" i="76"/>
  <c r="AJ46" i="76"/>
  <c r="Y46" i="76"/>
  <c r="X46" i="76"/>
  <c r="V46" i="76"/>
  <c r="U46" i="76"/>
  <c r="AK45" i="76"/>
  <c r="AJ45" i="76"/>
  <c r="AK44" i="76"/>
  <c r="AJ44" i="76"/>
  <c r="AK43" i="76"/>
  <c r="AJ43" i="76"/>
  <c r="Y43" i="76"/>
  <c r="X43" i="76"/>
  <c r="V43" i="76"/>
  <c r="U43" i="76"/>
  <c r="AK42" i="76"/>
  <c r="AJ42" i="76"/>
  <c r="Y42" i="76"/>
  <c r="X42" i="76"/>
  <c r="AK41" i="76"/>
  <c r="AJ41" i="76"/>
  <c r="Y41" i="76"/>
  <c r="X41" i="76"/>
  <c r="V41" i="76"/>
  <c r="U41" i="76"/>
  <c r="AK40" i="76"/>
  <c r="AJ40" i="76"/>
  <c r="AK39" i="76"/>
  <c r="AJ39" i="76"/>
  <c r="Y39" i="76"/>
  <c r="X39" i="76"/>
  <c r="V39" i="76"/>
  <c r="U39" i="76"/>
  <c r="AK38" i="76"/>
  <c r="AJ38" i="76"/>
  <c r="Y38" i="76"/>
  <c r="X38" i="76"/>
  <c r="V38" i="76"/>
  <c r="U38" i="76"/>
  <c r="AK37" i="76"/>
  <c r="AJ37" i="76"/>
  <c r="Y37" i="76"/>
  <c r="X37" i="76"/>
  <c r="V37" i="76"/>
  <c r="U37" i="76"/>
  <c r="AK36" i="76"/>
  <c r="AJ36" i="76"/>
  <c r="Y36" i="76"/>
  <c r="X36" i="76"/>
  <c r="V36" i="76"/>
  <c r="U36" i="76"/>
  <c r="AK35" i="76"/>
  <c r="AJ35" i="76"/>
  <c r="Y35" i="76"/>
  <c r="X35" i="76"/>
  <c r="V35" i="76"/>
  <c r="U35" i="76"/>
  <c r="AK34" i="76"/>
  <c r="AJ34" i="76"/>
  <c r="Y34" i="76"/>
  <c r="X34" i="76"/>
  <c r="V34" i="76"/>
  <c r="U34" i="76"/>
  <c r="AK33" i="76"/>
  <c r="AJ33" i="76"/>
  <c r="Y33" i="76"/>
  <c r="X33" i="76"/>
  <c r="V33" i="76"/>
  <c r="U33" i="76"/>
  <c r="AK32" i="76"/>
  <c r="AJ32" i="76"/>
  <c r="Y32" i="76"/>
  <c r="X32" i="76"/>
  <c r="V32" i="76"/>
  <c r="U32" i="76"/>
  <c r="AK31" i="76"/>
  <c r="AJ31" i="76"/>
  <c r="Y31" i="76"/>
  <c r="X31" i="76"/>
  <c r="V31" i="76"/>
  <c r="U31" i="76"/>
  <c r="AK30" i="76"/>
  <c r="AJ30" i="76"/>
  <c r="Y30" i="76"/>
  <c r="X30" i="76"/>
  <c r="V30" i="76"/>
  <c r="U30" i="76"/>
  <c r="AK29" i="76"/>
  <c r="AJ29" i="76"/>
  <c r="Y29" i="76"/>
  <c r="X29" i="76"/>
  <c r="V29" i="76"/>
  <c r="U29" i="76"/>
  <c r="AK28" i="76"/>
  <c r="AJ28" i="76"/>
  <c r="Y28" i="76"/>
  <c r="X28" i="76"/>
  <c r="V28" i="76"/>
  <c r="U28" i="76"/>
  <c r="AK27" i="76"/>
  <c r="AJ27" i="76"/>
  <c r="Y27" i="76"/>
  <c r="X27" i="76"/>
  <c r="V27" i="76"/>
  <c r="U27" i="76"/>
  <c r="AK26" i="76"/>
  <c r="W26" i="76"/>
  <c r="AK25" i="76"/>
  <c r="AJ25" i="76"/>
  <c r="Y25" i="76"/>
  <c r="X25" i="76"/>
  <c r="V25" i="76"/>
  <c r="U25" i="76"/>
  <c r="AK24" i="76"/>
  <c r="AJ24" i="76"/>
  <c r="AK23" i="76"/>
  <c r="AJ23" i="76"/>
  <c r="AK22" i="76"/>
  <c r="AJ22" i="76"/>
  <c r="Y22" i="76"/>
  <c r="X22" i="76"/>
  <c r="V22" i="76"/>
  <c r="U22" i="76"/>
  <c r="AK21" i="76"/>
  <c r="AJ21" i="76"/>
  <c r="AK20" i="76"/>
  <c r="AJ20" i="76"/>
  <c r="Y20" i="76"/>
  <c r="X20" i="76"/>
  <c r="V20" i="76"/>
  <c r="U20" i="76"/>
  <c r="AK19" i="76"/>
  <c r="AJ19" i="76"/>
  <c r="AK18" i="76"/>
  <c r="AJ18" i="76"/>
  <c r="Y18" i="76"/>
  <c r="X18" i="76"/>
  <c r="V18" i="76"/>
  <c r="U18" i="76"/>
  <c r="AK17" i="76"/>
  <c r="AJ17" i="76"/>
  <c r="Y17" i="76"/>
  <c r="X17" i="76"/>
  <c r="V17" i="76"/>
  <c r="U17" i="76"/>
  <c r="AK16" i="76"/>
  <c r="AJ16" i="76"/>
  <c r="Y16" i="76"/>
  <c r="X16" i="76"/>
  <c r="V16" i="76"/>
  <c r="U16" i="76"/>
  <c r="AK15" i="76"/>
  <c r="AJ15" i="76"/>
  <c r="Y15" i="76"/>
  <c r="X15" i="76"/>
  <c r="V15" i="76"/>
  <c r="U15" i="76"/>
  <c r="AK14" i="76"/>
  <c r="AJ14" i="76"/>
  <c r="Y14" i="76"/>
  <c r="X14" i="76"/>
  <c r="V14" i="76"/>
  <c r="U14" i="76"/>
  <c r="AK13" i="76"/>
  <c r="AJ13" i="76"/>
  <c r="Y13" i="76"/>
  <c r="X13" i="76"/>
  <c r="V13" i="76"/>
  <c r="U13" i="76"/>
  <c r="AK12" i="76"/>
  <c r="AJ12" i="76"/>
  <c r="Y12" i="76"/>
  <c r="X12" i="76"/>
  <c r="V12" i="76"/>
  <c r="U12" i="76"/>
  <c r="AK11" i="76"/>
  <c r="AJ11" i="76"/>
  <c r="Y11" i="76"/>
  <c r="X11" i="76"/>
  <c r="V11" i="76"/>
  <c r="U11" i="76"/>
  <c r="AK10" i="76"/>
  <c r="AJ10" i="76"/>
  <c r="Y10" i="76"/>
  <c r="X10" i="76"/>
  <c r="V10" i="76"/>
  <c r="U10" i="76"/>
  <c r="AK9" i="76"/>
  <c r="AJ9" i="76"/>
  <c r="Y9" i="76"/>
  <c r="X9" i="76"/>
  <c r="V9" i="76"/>
  <c r="U9" i="76"/>
  <c r="AK8" i="76"/>
  <c r="AJ8" i="76"/>
  <c r="Y8" i="76"/>
  <c r="X8" i="76"/>
  <c r="V8" i="76"/>
  <c r="U8" i="76"/>
  <c r="AK7" i="76"/>
  <c r="AJ7" i="76"/>
  <c r="Y7" i="76"/>
  <c r="X7" i="76"/>
  <c r="V7" i="76"/>
  <c r="U7" i="76"/>
  <c r="AK6" i="76"/>
  <c r="AJ6" i="76"/>
  <c r="Y6" i="76"/>
  <c r="X6" i="76"/>
  <c r="V6" i="76"/>
  <c r="U6" i="76"/>
  <c r="W425" i="75"/>
  <c r="AK424" i="75"/>
  <c r="AJ424" i="75"/>
  <c r="Y424" i="75"/>
  <c r="X424" i="75"/>
  <c r="V424" i="75"/>
  <c r="U424" i="75"/>
  <c r="K424" i="75"/>
  <c r="F424" i="75"/>
  <c r="AK423" i="75"/>
  <c r="AJ423" i="75"/>
  <c r="AK422" i="75"/>
  <c r="AJ422" i="75"/>
  <c r="AK421" i="75"/>
  <c r="AJ421" i="75"/>
  <c r="Y421" i="75"/>
  <c r="X421" i="75"/>
  <c r="V421" i="75"/>
  <c r="U421" i="75"/>
  <c r="AK420" i="75"/>
  <c r="AJ420" i="75"/>
  <c r="Y420" i="75"/>
  <c r="X420" i="75"/>
  <c r="V420" i="75"/>
  <c r="U420" i="75"/>
  <c r="AK419" i="75"/>
  <c r="AJ419" i="75"/>
  <c r="Y419" i="75"/>
  <c r="X419" i="75"/>
  <c r="V419" i="75"/>
  <c r="U419" i="75"/>
  <c r="AK418" i="75"/>
  <c r="AJ418" i="75"/>
  <c r="Y418" i="75"/>
  <c r="X418" i="75"/>
  <c r="V418" i="75"/>
  <c r="U418" i="75"/>
  <c r="AK417" i="75"/>
  <c r="AJ417" i="75"/>
  <c r="Y417" i="75"/>
  <c r="X417" i="75"/>
  <c r="V417" i="75"/>
  <c r="U417" i="75"/>
  <c r="AK416" i="75"/>
  <c r="AJ416" i="75"/>
  <c r="Y416" i="75"/>
  <c r="X416" i="75"/>
  <c r="V416" i="75"/>
  <c r="U416" i="75"/>
  <c r="AK415" i="75"/>
  <c r="AJ415" i="75"/>
  <c r="Y415" i="75"/>
  <c r="X415" i="75"/>
  <c r="X425" i="75" s="1"/>
  <c r="V415" i="75"/>
  <c r="U415" i="75"/>
  <c r="AK414" i="75"/>
  <c r="AJ414" i="75"/>
  <c r="Y414" i="75"/>
  <c r="X414" i="75"/>
  <c r="V414" i="75"/>
  <c r="U414" i="75"/>
  <c r="AK413" i="75"/>
  <c r="AJ413" i="75"/>
  <c r="Y413" i="75"/>
  <c r="X413" i="75"/>
  <c r="V413" i="75"/>
  <c r="U413" i="75"/>
  <c r="AK412" i="75"/>
  <c r="AJ412" i="75"/>
  <c r="Y412" i="75"/>
  <c r="X412" i="75"/>
  <c r="V412" i="75"/>
  <c r="U412" i="75"/>
  <c r="AK411" i="75"/>
  <c r="AJ411" i="75"/>
  <c r="Y411" i="75"/>
  <c r="X411" i="75"/>
  <c r="V411" i="75"/>
  <c r="U411" i="75"/>
  <c r="AK410" i="75"/>
  <c r="AJ410" i="75"/>
  <c r="Y410" i="75"/>
  <c r="X410" i="75"/>
  <c r="V410" i="75"/>
  <c r="U410" i="75"/>
  <c r="AK409" i="75"/>
  <c r="AJ409" i="75"/>
  <c r="Y409" i="75"/>
  <c r="X409" i="75"/>
  <c r="V409" i="75"/>
  <c r="U409" i="75"/>
  <c r="AK408" i="75"/>
  <c r="AJ408" i="75"/>
  <c r="Y408" i="75"/>
  <c r="X408" i="75"/>
  <c r="V408" i="75"/>
  <c r="U408" i="75"/>
  <c r="AK407" i="75"/>
  <c r="AJ407" i="75"/>
  <c r="Y407" i="75"/>
  <c r="X407" i="75"/>
  <c r="V407" i="75"/>
  <c r="U407" i="75"/>
  <c r="AK406" i="75"/>
  <c r="AA416" i="75" s="1"/>
  <c r="AJ406" i="75"/>
  <c r="Y406" i="75"/>
  <c r="X406" i="75"/>
  <c r="V406" i="75"/>
  <c r="U406" i="75"/>
  <c r="AK405" i="75"/>
  <c r="AJ405" i="75"/>
  <c r="Y405" i="75"/>
  <c r="X405" i="75"/>
  <c r="V405" i="75"/>
  <c r="U405" i="75"/>
  <c r="W404" i="75"/>
  <c r="K404" i="75"/>
  <c r="F404" i="75"/>
  <c r="AK403" i="75"/>
  <c r="AJ403" i="75"/>
  <c r="Y403" i="75"/>
  <c r="X403" i="75"/>
  <c r="V403" i="75"/>
  <c r="U403" i="75"/>
  <c r="AK402" i="75"/>
  <c r="AJ402" i="75"/>
  <c r="AK401" i="75"/>
  <c r="AJ401" i="75"/>
  <c r="AK400" i="75"/>
  <c r="AJ400" i="75"/>
  <c r="Y400" i="75"/>
  <c r="X400" i="75"/>
  <c r="V400" i="75"/>
  <c r="U400" i="75"/>
  <c r="AK399" i="75"/>
  <c r="AJ399" i="75"/>
  <c r="Y399" i="75"/>
  <c r="X399" i="75"/>
  <c r="V399" i="75"/>
  <c r="U399" i="75"/>
  <c r="AK398" i="75"/>
  <c r="AJ398" i="75"/>
  <c r="Y398" i="75"/>
  <c r="X398" i="75"/>
  <c r="V398" i="75"/>
  <c r="U398" i="75"/>
  <c r="AK397" i="75"/>
  <c r="AJ397" i="75"/>
  <c r="Y397" i="75"/>
  <c r="X397" i="75"/>
  <c r="V397" i="75"/>
  <c r="U397" i="75"/>
  <c r="AK396" i="75"/>
  <c r="AJ396" i="75"/>
  <c r="Y396" i="75"/>
  <c r="X396" i="75"/>
  <c r="V396" i="75"/>
  <c r="U396" i="75"/>
  <c r="AK395" i="75"/>
  <c r="AJ395" i="75"/>
  <c r="Y395" i="75"/>
  <c r="X395" i="75"/>
  <c r="V395" i="75"/>
  <c r="U395" i="75"/>
  <c r="AK394" i="75"/>
  <c r="AJ394" i="75"/>
  <c r="Y394" i="75"/>
  <c r="X394" i="75"/>
  <c r="V394" i="75"/>
  <c r="U394" i="75"/>
  <c r="AK393" i="75"/>
  <c r="AJ393" i="75"/>
  <c r="Y393" i="75"/>
  <c r="X393" i="75"/>
  <c r="V393" i="75"/>
  <c r="U393" i="75"/>
  <c r="AK392" i="75"/>
  <c r="AJ392" i="75"/>
  <c r="Y392" i="75"/>
  <c r="X392" i="75"/>
  <c r="V392" i="75"/>
  <c r="U392" i="75"/>
  <c r="AK391" i="75"/>
  <c r="AJ391" i="75"/>
  <c r="Y391" i="75"/>
  <c r="X391" i="75"/>
  <c r="V391" i="75"/>
  <c r="U391" i="75"/>
  <c r="AK390" i="75"/>
  <c r="AJ390" i="75"/>
  <c r="Y390" i="75"/>
  <c r="X390" i="75"/>
  <c r="V390" i="75"/>
  <c r="U390" i="75"/>
  <c r="AK389" i="75"/>
  <c r="AJ389" i="75"/>
  <c r="Y389" i="75"/>
  <c r="X389" i="75"/>
  <c r="V389" i="75"/>
  <c r="U389" i="75"/>
  <c r="AK388" i="75"/>
  <c r="AJ388" i="75"/>
  <c r="Y388" i="75"/>
  <c r="X388" i="75"/>
  <c r="V388" i="75"/>
  <c r="U388" i="75"/>
  <c r="AK387" i="75"/>
  <c r="AJ387" i="75"/>
  <c r="Y387" i="75"/>
  <c r="X387" i="75"/>
  <c r="V387" i="75"/>
  <c r="U387" i="75"/>
  <c r="AK386" i="75"/>
  <c r="AJ386" i="75"/>
  <c r="Y386" i="75"/>
  <c r="X386" i="75"/>
  <c r="V386" i="75"/>
  <c r="U386" i="75"/>
  <c r="U404" i="75" s="1"/>
  <c r="AK385" i="75"/>
  <c r="AJ385" i="75"/>
  <c r="Y385" i="75"/>
  <c r="Y404" i="75" s="1"/>
  <c r="X385" i="75"/>
  <c r="V385" i="75"/>
  <c r="U385" i="75"/>
  <c r="AK384" i="75"/>
  <c r="AJ384" i="75"/>
  <c r="Z386" i="75" s="1"/>
  <c r="Y384" i="75"/>
  <c r="X384" i="75"/>
  <c r="V384" i="75"/>
  <c r="U384" i="75"/>
  <c r="W383" i="75"/>
  <c r="K383" i="75"/>
  <c r="F383" i="75"/>
  <c r="AK382" i="75"/>
  <c r="AJ382" i="75"/>
  <c r="Y382" i="75"/>
  <c r="X382" i="75"/>
  <c r="V382" i="75"/>
  <c r="U382" i="75"/>
  <c r="AK381" i="75"/>
  <c r="AJ381" i="75"/>
  <c r="AK380" i="75"/>
  <c r="AJ380" i="75"/>
  <c r="AK379" i="75"/>
  <c r="AJ379" i="75"/>
  <c r="Y379" i="75"/>
  <c r="X379" i="75"/>
  <c r="V379" i="75"/>
  <c r="U379" i="75"/>
  <c r="AK378" i="75"/>
  <c r="AJ378" i="75"/>
  <c r="Y378" i="75"/>
  <c r="X378" i="75"/>
  <c r="V378" i="75"/>
  <c r="U378" i="75"/>
  <c r="AK377" i="75"/>
  <c r="AJ377" i="75"/>
  <c r="Y377" i="75"/>
  <c r="X377" i="75"/>
  <c r="V377" i="75"/>
  <c r="U377" i="75"/>
  <c r="AK376" i="75"/>
  <c r="AJ376" i="75"/>
  <c r="Y376" i="75"/>
  <c r="X376" i="75"/>
  <c r="V376" i="75"/>
  <c r="U376" i="75"/>
  <c r="AK375" i="75"/>
  <c r="AJ375" i="75"/>
  <c r="Y375" i="75"/>
  <c r="X375" i="75"/>
  <c r="V375" i="75"/>
  <c r="U375" i="75"/>
  <c r="AK374" i="75"/>
  <c r="AJ374" i="75"/>
  <c r="Y374" i="75"/>
  <c r="X374" i="75"/>
  <c r="V374" i="75"/>
  <c r="U374" i="75"/>
  <c r="AK373" i="75"/>
  <c r="AJ373" i="75"/>
  <c r="Y373" i="75"/>
  <c r="X373" i="75"/>
  <c r="V373" i="75"/>
  <c r="U373" i="75"/>
  <c r="AK372" i="75"/>
  <c r="AJ372" i="75"/>
  <c r="Y372" i="75"/>
  <c r="X372" i="75"/>
  <c r="V372" i="75"/>
  <c r="U372" i="75"/>
  <c r="AK371" i="75"/>
  <c r="AJ371" i="75"/>
  <c r="Y371" i="75"/>
  <c r="X371" i="75"/>
  <c r="V371" i="75"/>
  <c r="U371" i="75"/>
  <c r="AK370" i="75"/>
  <c r="AJ370" i="75"/>
  <c r="Y370" i="75"/>
  <c r="X370" i="75"/>
  <c r="V370" i="75"/>
  <c r="U370" i="75"/>
  <c r="AK369" i="75"/>
  <c r="AJ369" i="75"/>
  <c r="Y369" i="75"/>
  <c r="X369" i="75"/>
  <c r="V369" i="75"/>
  <c r="U369" i="75"/>
  <c r="AK368" i="75"/>
  <c r="AJ368" i="75"/>
  <c r="Y368" i="75"/>
  <c r="X368" i="75"/>
  <c r="V368" i="75"/>
  <c r="U368" i="75"/>
  <c r="AK367" i="75"/>
  <c r="AJ367" i="75"/>
  <c r="Y367" i="75"/>
  <c r="X367" i="75"/>
  <c r="V367" i="75"/>
  <c r="U367" i="75"/>
  <c r="AK366" i="75"/>
  <c r="AJ366" i="75"/>
  <c r="Y366" i="75"/>
  <c r="X366" i="75"/>
  <c r="V366" i="75"/>
  <c r="U366" i="75"/>
  <c r="AK365" i="75"/>
  <c r="AJ365" i="75"/>
  <c r="Y365" i="75"/>
  <c r="X365" i="75"/>
  <c r="V365" i="75"/>
  <c r="U365" i="75"/>
  <c r="AK364" i="75"/>
  <c r="AJ364" i="75"/>
  <c r="Y364" i="75"/>
  <c r="X364" i="75"/>
  <c r="V364" i="75"/>
  <c r="U364" i="75"/>
  <c r="AK363" i="75"/>
  <c r="AJ363" i="75"/>
  <c r="Y363" i="75"/>
  <c r="X363" i="75"/>
  <c r="X383" i="75" s="1"/>
  <c r="V363" i="75"/>
  <c r="V383" i="75"/>
  <c r="U363" i="75"/>
  <c r="W362" i="75"/>
  <c r="K362" i="75"/>
  <c r="F362" i="75"/>
  <c r="AK361" i="75"/>
  <c r="AJ361" i="75"/>
  <c r="Y361" i="75"/>
  <c r="X361" i="75"/>
  <c r="V361" i="75"/>
  <c r="U361" i="75"/>
  <c r="AK360" i="75"/>
  <c r="AJ360" i="75"/>
  <c r="AK359" i="75"/>
  <c r="AJ359" i="75"/>
  <c r="AK358" i="75"/>
  <c r="AJ358" i="75"/>
  <c r="Y358" i="75"/>
  <c r="X358" i="75"/>
  <c r="V358" i="75"/>
  <c r="U358" i="75"/>
  <c r="AK357" i="75"/>
  <c r="AJ357" i="75"/>
  <c r="Y357" i="75"/>
  <c r="X357" i="75"/>
  <c r="V357" i="75"/>
  <c r="U357" i="75"/>
  <c r="AK356" i="75"/>
  <c r="AJ356" i="75"/>
  <c r="Y356" i="75"/>
  <c r="X356" i="75"/>
  <c r="V356" i="75"/>
  <c r="U356" i="75"/>
  <c r="AK355" i="75"/>
  <c r="AJ355" i="75"/>
  <c r="Y355" i="75"/>
  <c r="X355" i="75"/>
  <c r="V355" i="75"/>
  <c r="U355" i="75"/>
  <c r="AK354" i="75"/>
  <c r="AJ354" i="75"/>
  <c r="Y354" i="75"/>
  <c r="X354" i="75"/>
  <c r="V354" i="75"/>
  <c r="U354" i="75"/>
  <c r="AK353" i="75"/>
  <c r="AJ353" i="75"/>
  <c r="Y353" i="75"/>
  <c r="X353" i="75"/>
  <c r="V353" i="75"/>
  <c r="U353" i="75"/>
  <c r="AK352" i="75"/>
  <c r="AJ352" i="75"/>
  <c r="Y352" i="75"/>
  <c r="X352" i="75"/>
  <c r="V352" i="75"/>
  <c r="U352" i="75"/>
  <c r="AK351" i="75"/>
  <c r="AJ351" i="75"/>
  <c r="Y351" i="75"/>
  <c r="X351" i="75"/>
  <c r="V351" i="75"/>
  <c r="U351" i="75"/>
  <c r="AK350" i="75"/>
  <c r="AJ350" i="75"/>
  <c r="Y350" i="75"/>
  <c r="X350" i="75"/>
  <c r="V350" i="75"/>
  <c r="U350" i="75"/>
  <c r="AK349" i="75"/>
  <c r="AJ349" i="75"/>
  <c r="Y349" i="75"/>
  <c r="X349" i="75"/>
  <c r="V349" i="75"/>
  <c r="U349" i="75"/>
  <c r="AK348" i="75"/>
  <c r="AJ348" i="75"/>
  <c r="Y348" i="75"/>
  <c r="X348" i="75"/>
  <c r="V348" i="75"/>
  <c r="U348" i="75"/>
  <c r="AK347" i="75"/>
  <c r="AJ347" i="75"/>
  <c r="Y347" i="75"/>
  <c r="X347" i="75"/>
  <c r="V347" i="75"/>
  <c r="U347" i="75"/>
  <c r="AK346" i="75"/>
  <c r="AJ346" i="75"/>
  <c r="Y346" i="75"/>
  <c r="X346" i="75"/>
  <c r="V346" i="75"/>
  <c r="U346" i="75"/>
  <c r="AK345" i="75"/>
  <c r="AJ345" i="75"/>
  <c r="Y345" i="75"/>
  <c r="X345" i="75"/>
  <c r="V345" i="75"/>
  <c r="U345" i="75"/>
  <c r="AK344" i="75"/>
  <c r="AJ344" i="75"/>
  <c r="Y344" i="75"/>
  <c r="X344" i="75"/>
  <c r="V344" i="75"/>
  <c r="U344" i="75"/>
  <c r="AK343" i="75"/>
  <c r="AJ343" i="75"/>
  <c r="Y343" i="75"/>
  <c r="X343" i="75"/>
  <c r="V343" i="75"/>
  <c r="U343" i="75"/>
  <c r="AK342" i="75"/>
  <c r="AJ342" i="75"/>
  <c r="Z358" i="75" s="1"/>
  <c r="Y342" i="75"/>
  <c r="X342" i="75"/>
  <c r="V342" i="75"/>
  <c r="U342" i="75"/>
  <c r="W341" i="75"/>
  <c r="K341" i="75"/>
  <c r="F341" i="75"/>
  <c r="AK340" i="75"/>
  <c r="AJ340" i="75"/>
  <c r="Y340" i="75"/>
  <c r="X340" i="75"/>
  <c r="V340" i="75"/>
  <c r="U340" i="75"/>
  <c r="AK339" i="75"/>
  <c r="AJ339" i="75"/>
  <c r="AK338" i="75"/>
  <c r="AJ338" i="75"/>
  <c r="AK337" i="75"/>
  <c r="AJ337" i="75"/>
  <c r="Y337" i="75"/>
  <c r="X337" i="75"/>
  <c r="V337" i="75"/>
  <c r="U337" i="75"/>
  <c r="AK336" i="75"/>
  <c r="AJ336" i="75"/>
  <c r="Y336" i="75"/>
  <c r="X336" i="75"/>
  <c r="V336" i="75"/>
  <c r="U336" i="75"/>
  <c r="AK335" i="75"/>
  <c r="AJ335" i="75"/>
  <c r="Y335" i="75"/>
  <c r="X335" i="75"/>
  <c r="V335" i="75"/>
  <c r="U335" i="75"/>
  <c r="AK334" i="75"/>
  <c r="AJ334" i="75"/>
  <c r="Y334" i="75"/>
  <c r="X334" i="75"/>
  <c r="V334" i="75"/>
  <c r="U334" i="75"/>
  <c r="AK333" i="75"/>
  <c r="AJ333" i="75"/>
  <c r="Y333" i="75"/>
  <c r="X333" i="75"/>
  <c r="V333" i="75"/>
  <c r="U333" i="75"/>
  <c r="AK332" i="75"/>
  <c r="AJ332" i="75"/>
  <c r="Y332" i="75"/>
  <c r="X332" i="75"/>
  <c r="V332" i="75"/>
  <c r="U332" i="75"/>
  <c r="AK331" i="75"/>
  <c r="AJ331" i="75"/>
  <c r="Y331" i="75"/>
  <c r="X331" i="75"/>
  <c r="V331" i="75"/>
  <c r="U331" i="75"/>
  <c r="AK330" i="75"/>
  <c r="AJ330" i="75"/>
  <c r="Y330" i="75"/>
  <c r="X330" i="75"/>
  <c r="V330" i="75"/>
  <c r="U330" i="75"/>
  <c r="AK329" i="75"/>
  <c r="AJ329" i="75"/>
  <c r="Y329" i="75"/>
  <c r="X329" i="75"/>
  <c r="V329" i="75"/>
  <c r="U329" i="75"/>
  <c r="AK328" i="75"/>
  <c r="AJ328" i="75"/>
  <c r="Y328" i="75"/>
  <c r="X328" i="75"/>
  <c r="V328" i="75"/>
  <c r="U328" i="75"/>
  <c r="AK327" i="75"/>
  <c r="AJ327" i="75"/>
  <c r="Y327" i="75"/>
  <c r="X327" i="75"/>
  <c r="V327" i="75"/>
  <c r="U327" i="75"/>
  <c r="AK326" i="75"/>
  <c r="AJ326" i="75"/>
  <c r="Y326" i="75"/>
  <c r="X326" i="75"/>
  <c r="V326" i="75"/>
  <c r="U326" i="75"/>
  <c r="AK325" i="75"/>
  <c r="AJ325" i="75"/>
  <c r="AC333" i="75" s="1"/>
  <c r="Y325" i="75"/>
  <c r="X325" i="75"/>
  <c r="V325" i="75"/>
  <c r="U325" i="75"/>
  <c r="AK324" i="75"/>
  <c r="AJ324" i="75"/>
  <c r="Y324" i="75"/>
  <c r="X324" i="75"/>
  <c r="V324" i="75"/>
  <c r="U324" i="75"/>
  <c r="AK323" i="75"/>
  <c r="AJ323" i="75"/>
  <c r="AC325" i="75" s="1"/>
  <c r="AH325" i="75" s="1"/>
  <c r="Y323" i="75"/>
  <c r="X323" i="75"/>
  <c r="V323" i="75"/>
  <c r="U323" i="75"/>
  <c r="AK322" i="75"/>
  <c r="AJ322" i="75"/>
  <c r="Y322" i="75"/>
  <c r="X322" i="75"/>
  <c r="V322" i="75"/>
  <c r="U322" i="75"/>
  <c r="AK321" i="75"/>
  <c r="AJ321" i="75"/>
  <c r="Y321" i="75"/>
  <c r="X321" i="75"/>
  <c r="V321" i="75"/>
  <c r="U321" i="75"/>
  <c r="U341" i="75" s="1"/>
  <c r="W320" i="75"/>
  <c r="K320" i="75"/>
  <c r="F320" i="75"/>
  <c r="AK319" i="75"/>
  <c r="AJ319" i="75"/>
  <c r="Y319" i="75"/>
  <c r="X319" i="75"/>
  <c r="V319" i="75"/>
  <c r="U319" i="75"/>
  <c r="AK318" i="75"/>
  <c r="AJ318" i="75"/>
  <c r="AK317" i="75"/>
  <c r="AJ317" i="75"/>
  <c r="AK316" i="75"/>
  <c r="AJ316" i="75"/>
  <c r="Y316" i="75"/>
  <c r="X316" i="75"/>
  <c r="V316" i="75"/>
  <c r="U316" i="75"/>
  <c r="AK315" i="75"/>
  <c r="AJ315" i="75"/>
  <c r="Y315" i="75"/>
  <c r="X315" i="75"/>
  <c r="V315" i="75"/>
  <c r="U315" i="75"/>
  <c r="AK314" i="75"/>
  <c r="AJ314" i="75"/>
  <c r="Y314" i="75"/>
  <c r="X314" i="75"/>
  <c r="V314" i="75"/>
  <c r="U314" i="75"/>
  <c r="AK313" i="75"/>
  <c r="AJ313" i="75"/>
  <c r="Y313" i="75"/>
  <c r="X313" i="75"/>
  <c r="V313" i="75"/>
  <c r="U313" i="75"/>
  <c r="AK312" i="75"/>
  <c r="AJ312" i="75"/>
  <c r="Y312" i="75"/>
  <c r="X312" i="75"/>
  <c r="V312" i="75"/>
  <c r="U312" i="75"/>
  <c r="AK311" i="75"/>
  <c r="AJ311" i="75"/>
  <c r="Y311" i="75"/>
  <c r="X311" i="75"/>
  <c r="V311" i="75"/>
  <c r="U311" i="75"/>
  <c r="AK310" i="75"/>
  <c r="AJ310" i="75"/>
  <c r="Y310" i="75"/>
  <c r="X310" i="75"/>
  <c r="V310" i="75"/>
  <c r="U310" i="75"/>
  <c r="AK309" i="75"/>
  <c r="AJ309" i="75"/>
  <c r="Y309" i="75"/>
  <c r="X309" i="75"/>
  <c r="V309" i="75"/>
  <c r="U309" i="75"/>
  <c r="AK308" i="75"/>
  <c r="AJ308" i="75"/>
  <c r="Y308" i="75"/>
  <c r="X308" i="75"/>
  <c r="V308" i="75"/>
  <c r="U308" i="75"/>
  <c r="AK307" i="75"/>
  <c r="AJ307" i="75"/>
  <c r="Y307" i="75"/>
  <c r="X307" i="75"/>
  <c r="V307" i="75"/>
  <c r="U307" i="75"/>
  <c r="AK306" i="75"/>
  <c r="AJ306" i="75"/>
  <c r="Y306" i="75"/>
  <c r="X306" i="75"/>
  <c r="V306" i="75"/>
  <c r="U306" i="75"/>
  <c r="AK305" i="75"/>
  <c r="AJ305" i="75"/>
  <c r="Y305" i="75"/>
  <c r="X305" i="75"/>
  <c r="V305" i="75"/>
  <c r="U305" i="75"/>
  <c r="AK304" i="75"/>
  <c r="AJ304" i="75"/>
  <c r="Y304" i="75"/>
  <c r="X304" i="75"/>
  <c r="X320" i="75" s="1"/>
  <c r="V304" i="75"/>
  <c r="U304" i="75"/>
  <c r="AK303" i="75"/>
  <c r="AJ303" i="75"/>
  <c r="Y303" i="75"/>
  <c r="X303" i="75"/>
  <c r="V303" i="75"/>
  <c r="U303" i="75"/>
  <c r="AK302" i="75"/>
  <c r="AJ302" i="75"/>
  <c r="Y302" i="75"/>
  <c r="X302" i="75"/>
  <c r="V302" i="75"/>
  <c r="U302" i="75"/>
  <c r="AK301" i="75"/>
  <c r="AJ301" i="75"/>
  <c r="Y301" i="75"/>
  <c r="X301" i="75"/>
  <c r="V301" i="75"/>
  <c r="U301" i="75"/>
  <c r="AK300" i="75"/>
  <c r="AD307" i="75" s="1"/>
  <c r="AJ300" i="75"/>
  <c r="Z301" i="75" s="1"/>
  <c r="Y300" i="75"/>
  <c r="Y320" i="75"/>
  <c r="X300" i="75"/>
  <c r="V300" i="75"/>
  <c r="U300" i="75"/>
  <c r="W299" i="75"/>
  <c r="K299" i="75"/>
  <c r="F299" i="75"/>
  <c r="AK298" i="75"/>
  <c r="AJ298" i="75"/>
  <c r="Y298" i="75"/>
  <c r="X298" i="75"/>
  <c r="V298" i="75"/>
  <c r="U298" i="75"/>
  <c r="AK297" i="75"/>
  <c r="AJ297" i="75"/>
  <c r="AK296" i="75"/>
  <c r="AJ296" i="75"/>
  <c r="AK295" i="75"/>
  <c r="AJ295" i="75"/>
  <c r="Y295" i="75"/>
  <c r="X295" i="75"/>
  <c r="V295" i="75"/>
  <c r="U295" i="75"/>
  <c r="AK294" i="75"/>
  <c r="AJ294" i="75"/>
  <c r="Y294" i="75"/>
  <c r="X294" i="75"/>
  <c r="V294" i="75"/>
  <c r="U294" i="75"/>
  <c r="AK293" i="75"/>
  <c r="AJ293" i="75"/>
  <c r="Y293" i="75"/>
  <c r="X293" i="75"/>
  <c r="V293" i="75"/>
  <c r="U293" i="75"/>
  <c r="AK292" i="75"/>
  <c r="AJ292" i="75"/>
  <c r="Y292" i="75"/>
  <c r="X292" i="75"/>
  <c r="V292" i="75"/>
  <c r="U292" i="75"/>
  <c r="AK291" i="75"/>
  <c r="AJ291" i="75"/>
  <c r="Y291" i="75"/>
  <c r="X291" i="75"/>
  <c r="V291" i="75"/>
  <c r="U291" i="75"/>
  <c r="AK290" i="75"/>
  <c r="AJ290" i="75"/>
  <c r="Y290" i="75"/>
  <c r="X290" i="75"/>
  <c r="V290" i="75"/>
  <c r="U290" i="75"/>
  <c r="AK289" i="75"/>
  <c r="AJ289" i="75"/>
  <c r="Y289" i="75"/>
  <c r="X289" i="75"/>
  <c r="V289" i="75"/>
  <c r="U289" i="75"/>
  <c r="AK288" i="75"/>
  <c r="AJ288" i="75"/>
  <c r="Y288" i="75"/>
  <c r="X288" i="75"/>
  <c r="V288" i="75"/>
  <c r="U288" i="75"/>
  <c r="AK287" i="75"/>
  <c r="AJ287" i="75"/>
  <c r="Y287" i="75"/>
  <c r="X287" i="75"/>
  <c r="V287" i="75"/>
  <c r="U287" i="75"/>
  <c r="AK286" i="75"/>
  <c r="AJ286" i="75"/>
  <c r="Y286" i="75"/>
  <c r="X286" i="75"/>
  <c r="V286" i="75"/>
  <c r="U286" i="75"/>
  <c r="AK285" i="75"/>
  <c r="AJ285" i="75"/>
  <c r="Y285" i="75"/>
  <c r="X285" i="75"/>
  <c r="V285" i="75"/>
  <c r="U285" i="75"/>
  <c r="AK284" i="75"/>
  <c r="AJ284" i="75"/>
  <c r="Y284" i="75"/>
  <c r="X284" i="75"/>
  <c r="V284" i="75"/>
  <c r="U284" i="75"/>
  <c r="AK283" i="75"/>
  <c r="AJ283" i="75"/>
  <c r="Y283" i="75"/>
  <c r="X283" i="75"/>
  <c r="V283" i="75"/>
  <c r="U283" i="75"/>
  <c r="AK282" i="75"/>
  <c r="AJ282" i="75"/>
  <c r="Y282" i="75"/>
  <c r="X282" i="75"/>
  <c r="V282" i="75"/>
  <c r="U282" i="75"/>
  <c r="AK281" i="75"/>
  <c r="AJ281" i="75"/>
  <c r="Y281" i="75"/>
  <c r="X281" i="75"/>
  <c r="V281" i="75"/>
  <c r="U281" i="75"/>
  <c r="AK280" i="75"/>
  <c r="AJ280" i="75"/>
  <c r="Y280" i="75"/>
  <c r="X280" i="75"/>
  <c r="V280" i="75"/>
  <c r="U280" i="75"/>
  <c r="AK279" i="75"/>
  <c r="AJ279" i="75"/>
  <c r="Y279" i="75"/>
  <c r="X279" i="75"/>
  <c r="V279" i="75"/>
  <c r="U279" i="75"/>
  <c r="W278" i="75"/>
  <c r="K278" i="75"/>
  <c r="F278" i="75"/>
  <c r="AK277" i="75"/>
  <c r="AJ277" i="75"/>
  <c r="Y277" i="75"/>
  <c r="X277" i="75"/>
  <c r="V277" i="75"/>
  <c r="U277" i="75"/>
  <c r="AK276" i="75"/>
  <c r="AJ276" i="75"/>
  <c r="AK275" i="75"/>
  <c r="AJ275" i="75"/>
  <c r="AK274" i="75"/>
  <c r="AJ274" i="75"/>
  <c r="Y274" i="75"/>
  <c r="X274" i="75"/>
  <c r="V274" i="75"/>
  <c r="U274" i="75"/>
  <c r="AK273" i="75"/>
  <c r="AJ273" i="75"/>
  <c r="Y273" i="75"/>
  <c r="X273" i="75"/>
  <c r="V273" i="75"/>
  <c r="U273" i="75"/>
  <c r="AK272" i="75"/>
  <c r="AJ272" i="75"/>
  <c r="Y272" i="75"/>
  <c r="X272" i="75"/>
  <c r="V272" i="75"/>
  <c r="U272" i="75"/>
  <c r="AK271" i="75"/>
  <c r="AJ271" i="75"/>
  <c r="Y271" i="75"/>
  <c r="X271" i="75"/>
  <c r="V271" i="75"/>
  <c r="U271" i="75"/>
  <c r="AK270" i="75"/>
  <c r="AJ270" i="75"/>
  <c r="Y270" i="75"/>
  <c r="X270" i="75"/>
  <c r="V270" i="75"/>
  <c r="U270" i="75"/>
  <c r="AK269" i="75"/>
  <c r="AJ269" i="75"/>
  <c r="Y269" i="75"/>
  <c r="X269" i="75"/>
  <c r="V269" i="75"/>
  <c r="U269" i="75"/>
  <c r="AK268" i="75"/>
  <c r="AJ268" i="75"/>
  <c r="Y268" i="75"/>
  <c r="X268" i="75"/>
  <c r="V268" i="75"/>
  <c r="U268" i="75"/>
  <c r="AK267" i="75"/>
  <c r="AJ267" i="75"/>
  <c r="Y267" i="75"/>
  <c r="X267" i="75"/>
  <c r="V267" i="75"/>
  <c r="U267" i="75"/>
  <c r="AK266" i="75"/>
  <c r="AJ266" i="75"/>
  <c r="Y266" i="75"/>
  <c r="X266" i="75"/>
  <c r="V266" i="75"/>
  <c r="U266" i="75"/>
  <c r="AK265" i="75"/>
  <c r="AJ265" i="75"/>
  <c r="Y265" i="75"/>
  <c r="X265" i="75"/>
  <c r="V265" i="75"/>
  <c r="U265" i="75"/>
  <c r="AK264" i="75"/>
  <c r="AJ264" i="75"/>
  <c r="Y264" i="75"/>
  <c r="X264" i="75"/>
  <c r="V264" i="75"/>
  <c r="U264" i="75"/>
  <c r="AK263" i="75"/>
  <c r="AJ263" i="75"/>
  <c r="Y263" i="75"/>
  <c r="X263" i="75"/>
  <c r="V263" i="75"/>
  <c r="U263" i="75"/>
  <c r="AK262" i="75"/>
  <c r="AJ262" i="75"/>
  <c r="Y262" i="75"/>
  <c r="X262" i="75"/>
  <c r="V262" i="75"/>
  <c r="U262" i="75"/>
  <c r="AK261" i="75"/>
  <c r="AJ261" i="75"/>
  <c r="Y261" i="75"/>
  <c r="X261" i="75"/>
  <c r="V261" i="75"/>
  <c r="U261" i="75"/>
  <c r="AK260" i="75"/>
  <c r="AJ260" i="75"/>
  <c r="Y260" i="75"/>
  <c r="X260" i="75"/>
  <c r="V260" i="75"/>
  <c r="U260" i="75"/>
  <c r="AK259" i="75"/>
  <c r="AJ259" i="75"/>
  <c r="Y259" i="75"/>
  <c r="X259" i="75"/>
  <c r="V259" i="75"/>
  <c r="U259" i="75"/>
  <c r="AK258" i="75"/>
  <c r="AJ258" i="75"/>
  <c r="Y258" i="75"/>
  <c r="X258" i="75"/>
  <c r="V258" i="75"/>
  <c r="U258" i="75"/>
  <c r="W257" i="75"/>
  <c r="K257" i="75"/>
  <c r="F257" i="75"/>
  <c r="AK256" i="75"/>
  <c r="AJ256" i="75"/>
  <c r="Y256" i="75"/>
  <c r="X256" i="75"/>
  <c r="V256" i="75"/>
  <c r="U256" i="75"/>
  <c r="AK255" i="75"/>
  <c r="AJ255" i="75"/>
  <c r="AK254" i="75"/>
  <c r="AJ254" i="75"/>
  <c r="AK253" i="75"/>
  <c r="AJ253" i="75"/>
  <c r="Y253" i="75"/>
  <c r="X253" i="75"/>
  <c r="V253" i="75"/>
  <c r="U253" i="75"/>
  <c r="AK252" i="75"/>
  <c r="AJ252" i="75"/>
  <c r="Y252" i="75"/>
  <c r="X252" i="75"/>
  <c r="V252" i="75"/>
  <c r="U252" i="75"/>
  <c r="AK251" i="75"/>
  <c r="AJ251" i="75"/>
  <c r="Y251" i="75"/>
  <c r="X251" i="75"/>
  <c r="V251" i="75"/>
  <c r="U251" i="75"/>
  <c r="AK250" i="75"/>
  <c r="AJ250" i="75"/>
  <c r="Y250" i="75"/>
  <c r="X250" i="75"/>
  <c r="V250" i="75"/>
  <c r="U250" i="75"/>
  <c r="AK249" i="75"/>
  <c r="AJ249" i="75"/>
  <c r="Y249" i="75"/>
  <c r="X249" i="75"/>
  <c r="V249" i="75"/>
  <c r="U249" i="75"/>
  <c r="AK248" i="75"/>
  <c r="AJ248" i="75"/>
  <c r="Y248" i="75"/>
  <c r="X248" i="75"/>
  <c r="V248" i="75"/>
  <c r="U248" i="75"/>
  <c r="AK247" i="75"/>
  <c r="AJ247" i="75"/>
  <c r="Y247" i="75"/>
  <c r="X247" i="75"/>
  <c r="V247" i="75"/>
  <c r="U247" i="75"/>
  <c r="AK246" i="75"/>
  <c r="AJ246" i="75"/>
  <c r="Y246" i="75"/>
  <c r="X246" i="75"/>
  <c r="V246" i="75"/>
  <c r="U246" i="75"/>
  <c r="AK245" i="75"/>
  <c r="AJ245" i="75"/>
  <c r="Y245" i="75"/>
  <c r="X245" i="75"/>
  <c r="V245" i="75"/>
  <c r="U245" i="75"/>
  <c r="AK244" i="75"/>
  <c r="AJ244" i="75"/>
  <c r="Y244" i="75"/>
  <c r="X244" i="75"/>
  <c r="V244" i="75"/>
  <c r="U244" i="75"/>
  <c r="AK243" i="75"/>
  <c r="AJ243" i="75"/>
  <c r="Y243" i="75"/>
  <c r="X243" i="75"/>
  <c r="V243" i="75"/>
  <c r="U243" i="75"/>
  <c r="AK242" i="75"/>
  <c r="AJ242" i="75"/>
  <c r="Y242" i="75"/>
  <c r="X242" i="75"/>
  <c r="V242" i="75"/>
  <c r="U242" i="75"/>
  <c r="AK241" i="75"/>
  <c r="AJ241" i="75"/>
  <c r="Y241" i="75"/>
  <c r="X241" i="75"/>
  <c r="V241" i="75"/>
  <c r="U241" i="75"/>
  <c r="AK240" i="75"/>
  <c r="AJ240" i="75"/>
  <c r="Y240" i="75"/>
  <c r="X240" i="75"/>
  <c r="V240" i="75"/>
  <c r="U240" i="75"/>
  <c r="AK239" i="75"/>
  <c r="AJ239" i="75"/>
  <c r="Y239" i="75"/>
  <c r="X239" i="75"/>
  <c r="V239" i="75"/>
  <c r="U239" i="75"/>
  <c r="AK238" i="75"/>
  <c r="AJ238" i="75"/>
  <c r="Y238" i="75"/>
  <c r="X238" i="75"/>
  <c r="V238" i="75"/>
  <c r="U238" i="75"/>
  <c r="AK237" i="75"/>
  <c r="AJ237" i="75"/>
  <c r="Y237" i="75"/>
  <c r="X237" i="75"/>
  <c r="V237" i="75"/>
  <c r="U237" i="75"/>
  <c r="AK236" i="75"/>
  <c r="W236" i="75"/>
  <c r="K236" i="75"/>
  <c r="F236" i="75"/>
  <c r="AK235" i="75"/>
  <c r="AJ235" i="75"/>
  <c r="Y235" i="75"/>
  <c r="X235" i="75"/>
  <c r="V235" i="75"/>
  <c r="U235" i="75"/>
  <c r="AK234" i="75"/>
  <c r="AJ234" i="75"/>
  <c r="AK233" i="75"/>
  <c r="AJ233" i="75"/>
  <c r="AK232" i="75"/>
  <c r="AJ232" i="75"/>
  <c r="Y232" i="75"/>
  <c r="X232" i="75"/>
  <c r="V232" i="75"/>
  <c r="U232" i="75"/>
  <c r="AK231" i="75"/>
  <c r="AJ231" i="75"/>
  <c r="Y231" i="75"/>
  <c r="X231" i="75"/>
  <c r="V231" i="75"/>
  <c r="U231" i="75"/>
  <c r="AK230" i="75"/>
  <c r="AJ230" i="75"/>
  <c r="Y230" i="75"/>
  <c r="X230" i="75"/>
  <c r="V230" i="75"/>
  <c r="U230" i="75"/>
  <c r="AK229" i="75"/>
  <c r="AJ229" i="75"/>
  <c r="Y229" i="75"/>
  <c r="X229" i="75"/>
  <c r="V229" i="75"/>
  <c r="U229" i="75"/>
  <c r="AK228" i="75"/>
  <c r="AJ228" i="75"/>
  <c r="Y228" i="75"/>
  <c r="X228" i="75"/>
  <c r="V228" i="75"/>
  <c r="U228" i="75"/>
  <c r="AK227" i="75"/>
  <c r="AJ227" i="75"/>
  <c r="Y227" i="75"/>
  <c r="X227" i="75"/>
  <c r="V227" i="75"/>
  <c r="U227" i="75"/>
  <c r="AK226" i="75"/>
  <c r="AJ226" i="75"/>
  <c r="Y226" i="75"/>
  <c r="X226" i="75"/>
  <c r="V226" i="75"/>
  <c r="U226" i="75"/>
  <c r="AK225" i="75"/>
  <c r="AJ225" i="75"/>
  <c r="Y225" i="75"/>
  <c r="X225" i="75"/>
  <c r="V225" i="75"/>
  <c r="U225" i="75"/>
  <c r="AK224" i="75"/>
  <c r="AJ224" i="75"/>
  <c r="Y224" i="75"/>
  <c r="X224" i="75"/>
  <c r="V224" i="75"/>
  <c r="U224" i="75"/>
  <c r="AK223" i="75"/>
  <c r="AJ223" i="75"/>
  <c r="Y223" i="75"/>
  <c r="X223" i="75"/>
  <c r="V223" i="75"/>
  <c r="U223" i="75"/>
  <c r="AK222" i="75"/>
  <c r="AJ222" i="75"/>
  <c r="Y222" i="75"/>
  <c r="X222" i="75"/>
  <c r="V222" i="75"/>
  <c r="U222" i="75"/>
  <c r="AK221" i="75"/>
  <c r="AJ221" i="75"/>
  <c r="Y221" i="75"/>
  <c r="X221" i="75"/>
  <c r="V221" i="75"/>
  <c r="U221" i="75"/>
  <c r="AK220" i="75"/>
  <c r="AJ220" i="75"/>
  <c r="Y220" i="75"/>
  <c r="X220" i="75"/>
  <c r="V220" i="75"/>
  <c r="U220" i="75"/>
  <c r="AK219" i="75"/>
  <c r="AJ219" i="75"/>
  <c r="Y219" i="75"/>
  <c r="X219" i="75"/>
  <c r="V219" i="75"/>
  <c r="U219" i="75"/>
  <c r="AK218" i="75"/>
  <c r="AJ218" i="75"/>
  <c r="Y218" i="75"/>
  <c r="X218" i="75"/>
  <c r="V218" i="75"/>
  <c r="U218" i="75"/>
  <c r="AK217" i="75"/>
  <c r="AJ217" i="75"/>
  <c r="Y217" i="75"/>
  <c r="X217" i="75"/>
  <c r="V217" i="75"/>
  <c r="U217" i="75"/>
  <c r="B54" i="40" s="1"/>
  <c r="R10" i="3" s="1"/>
  <c r="AK216" i="75"/>
  <c r="AJ216" i="75"/>
  <c r="Y216" i="75"/>
  <c r="X216" i="75"/>
  <c r="V216" i="75"/>
  <c r="U216" i="75"/>
  <c r="AK215" i="75"/>
  <c r="W215" i="75"/>
  <c r="K215" i="75"/>
  <c r="F215" i="75"/>
  <c r="AK214" i="75"/>
  <c r="AJ214" i="75"/>
  <c r="Y214" i="75"/>
  <c r="X214" i="75"/>
  <c r="V214" i="75"/>
  <c r="U214" i="75"/>
  <c r="AK213" i="75"/>
  <c r="AJ213" i="75"/>
  <c r="AK212" i="75"/>
  <c r="AJ212" i="75"/>
  <c r="AK211" i="75"/>
  <c r="AJ211" i="75"/>
  <c r="Y211" i="75"/>
  <c r="X211" i="75"/>
  <c r="V211" i="75"/>
  <c r="U211" i="75"/>
  <c r="AK210" i="75"/>
  <c r="AJ210" i="75"/>
  <c r="Y210" i="75"/>
  <c r="X210" i="75"/>
  <c r="V210" i="75"/>
  <c r="U210" i="75"/>
  <c r="AK209" i="75"/>
  <c r="AJ209" i="75"/>
  <c r="Y209" i="75"/>
  <c r="X209" i="75"/>
  <c r="V209" i="75"/>
  <c r="U209" i="75"/>
  <c r="AK208" i="75"/>
  <c r="AJ208" i="75"/>
  <c r="Y208" i="75"/>
  <c r="X208" i="75"/>
  <c r="V208" i="75"/>
  <c r="U208" i="75"/>
  <c r="AK207" i="75"/>
  <c r="AJ207" i="75"/>
  <c r="Y207" i="75"/>
  <c r="X207" i="75"/>
  <c r="V207" i="75"/>
  <c r="U207" i="75"/>
  <c r="AK206" i="75"/>
  <c r="AJ206" i="75"/>
  <c r="Y206" i="75"/>
  <c r="Y215" i="75" s="1"/>
  <c r="X206" i="75"/>
  <c r="V206" i="75"/>
  <c r="U206" i="75"/>
  <c r="AK205" i="75"/>
  <c r="AJ205" i="75"/>
  <c r="Y205" i="75"/>
  <c r="X205" i="75"/>
  <c r="V205" i="75"/>
  <c r="U205" i="75"/>
  <c r="AK204" i="75"/>
  <c r="AJ204" i="75"/>
  <c r="Y204" i="75"/>
  <c r="X204" i="75"/>
  <c r="V204" i="75"/>
  <c r="U204" i="75"/>
  <c r="AK203" i="75"/>
  <c r="AJ203" i="75"/>
  <c r="Y203" i="75"/>
  <c r="X203" i="75"/>
  <c r="V203" i="75"/>
  <c r="U203" i="75"/>
  <c r="AK202" i="75"/>
  <c r="AJ202" i="75"/>
  <c r="Y202" i="75"/>
  <c r="X202" i="75"/>
  <c r="V202" i="75"/>
  <c r="U202" i="75"/>
  <c r="AK201" i="75"/>
  <c r="AJ201" i="75"/>
  <c r="Y201" i="75"/>
  <c r="X201" i="75"/>
  <c r="V201" i="75"/>
  <c r="U201" i="75"/>
  <c r="AK200" i="75"/>
  <c r="AJ200" i="75"/>
  <c r="Y200" i="75"/>
  <c r="X200" i="75"/>
  <c r="V200" i="75"/>
  <c r="U200" i="75"/>
  <c r="AK199" i="75"/>
  <c r="AJ199" i="75"/>
  <c r="Y199" i="75"/>
  <c r="X199" i="75"/>
  <c r="V199" i="75"/>
  <c r="U199" i="75"/>
  <c r="AK198" i="75"/>
  <c r="AJ198" i="75"/>
  <c r="Y198" i="75"/>
  <c r="X198" i="75"/>
  <c r="V198" i="75"/>
  <c r="U198" i="75"/>
  <c r="AK197" i="75"/>
  <c r="AJ197" i="75"/>
  <c r="Y197" i="75"/>
  <c r="X197" i="75"/>
  <c r="V197" i="75"/>
  <c r="U197" i="75"/>
  <c r="AK196" i="75"/>
  <c r="AJ196" i="75"/>
  <c r="Y196" i="75"/>
  <c r="X196" i="75"/>
  <c r="V196" i="75"/>
  <c r="U196" i="75"/>
  <c r="AK195" i="75"/>
  <c r="AD211" i="75"/>
  <c r="AJ195" i="75"/>
  <c r="Y195" i="75"/>
  <c r="X195" i="75"/>
  <c r="V195" i="75"/>
  <c r="U195" i="75"/>
  <c r="AK194" i="75"/>
  <c r="W194" i="75"/>
  <c r="K194" i="75"/>
  <c r="F194" i="75"/>
  <c r="AK193" i="75"/>
  <c r="AJ193" i="75"/>
  <c r="Y193" i="75"/>
  <c r="X193" i="75"/>
  <c r="V193" i="75"/>
  <c r="U193" i="75"/>
  <c r="AK192" i="75"/>
  <c r="AJ192" i="75"/>
  <c r="AK191" i="75"/>
  <c r="AJ191" i="75"/>
  <c r="AK190" i="75"/>
  <c r="AJ190" i="75"/>
  <c r="Y190" i="75"/>
  <c r="X190" i="75"/>
  <c r="V190" i="75"/>
  <c r="U190" i="75"/>
  <c r="AK189" i="75"/>
  <c r="AJ189" i="75"/>
  <c r="Y189" i="75"/>
  <c r="X189" i="75"/>
  <c r="V189" i="75"/>
  <c r="U189" i="75"/>
  <c r="AK188" i="75"/>
  <c r="AJ188" i="75"/>
  <c r="Y188" i="75"/>
  <c r="X188" i="75"/>
  <c r="V188" i="75"/>
  <c r="U188" i="75"/>
  <c r="AK187" i="75"/>
  <c r="AJ187" i="75"/>
  <c r="Y187" i="75"/>
  <c r="X187" i="75"/>
  <c r="V187" i="75"/>
  <c r="U187" i="75"/>
  <c r="AK186" i="75"/>
  <c r="AJ186" i="75"/>
  <c r="Y186" i="75"/>
  <c r="X186" i="75"/>
  <c r="V186" i="75"/>
  <c r="U186" i="75"/>
  <c r="AK185" i="75"/>
  <c r="AJ185" i="75"/>
  <c r="Y185" i="75"/>
  <c r="X185" i="75"/>
  <c r="V185" i="75"/>
  <c r="U185" i="75"/>
  <c r="AK184" i="75"/>
  <c r="AJ184" i="75"/>
  <c r="Y184" i="75"/>
  <c r="X184" i="75"/>
  <c r="V184" i="75"/>
  <c r="U184" i="75"/>
  <c r="AK183" i="75"/>
  <c r="AJ183" i="75"/>
  <c r="Y183" i="75"/>
  <c r="X183" i="75"/>
  <c r="V183" i="75"/>
  <c r="U183" i="75"/>
  <c r="AK182" i="75"/>
  <c r="AJ182" i="75"/>
  <c r="Y182" i="75"/>
  <c r="X182" i="75"/>
  <c r="V182" i="75"/>
  <c r="U182" i="75"/>
  <c r="AK181" i="75"/>
  <c r="AJ181" i="75"/>
  <c r="Y181" i="75"/>
  <c r="X181" i="75"/>
  <c r="V181" i="75"/>
  <c r="U181" i="75"/>
  <c r="AK180" i="75"/>
  <c r="AJ180" i="75"/>
  <c r="Y180" i="75"/>
  <c r="X180" i="75"/>
  <c r="V180" i="75"/>
  <c r="U180" i="75"/>
  <c r="AK179" i="75"/>
  <c r="AJ179" i="75"/>
  <c r="Y179" i="75"/>
  <c r="X179" i="75"/>
  <c r="V179" i="75"/>
  <c r="U179" i="75"/>
  <c r="AK178" i="75"/>
  <c r="AJ178" i="75"/>
  <c r="Y178" i="75"/>
  <c r="X178" i="75"/>
  <c r="V178" i="75"/>
  <c r="U178" i="75"/>
  <c r="AK177" i="75"/>
  <c r="AJ177" i="75"/>
  <c r="Y177" i="75"/>
  <c r="X177" i="75"/>
  <c r="V177" i="75"/>
  <c r="U177" i="75"/>
  <c r="AK176" i="75"/>
  <c r="AJ176" i="75"/>
  <c r="Y176" i="75"/>
  <c r="X176" i="75"/>
  <c r="V176" i="75"/>
  <c r="U176" i="75"/>
  <c r="AK175" i="75"/>
  <c r="AJ175" i="75"/>
  <c r="Y175" i="75"/>
  <c r="X175" i="75"/>
  <c r="V175" i="75"/>
  <c r="U175" i="75"/>
  <c r="AK174" i="75"/>
  <c r="AJ174" i="75"/>
  <c r="Z175" i="75" s="1"/>
  <c r="Y174" i="75"/>
  <c r="X174" i="75"/>
  <c r="V174" i="75"/>
  <c r="U174" i="75"/>
  <c r="AK173" i="75"/>
  <c r="W173" i="75"/>
  <c r="K173" i="75"/>
  <c r="F173" i="75"/>
  <c r="AK172" i="75"/>
  <c r="AJ172" i="75"/>
  <c r="Y172" i="75"/>
  <c r="X172" i="75"/>
  <c r="V172" i="75"/>
  <c r="U172" i="75"/>
  <c r="AK171" i="75"/>
  <c r="AJ171" i="75"/>
  <c r="AK170" i="75"/>
  <c r="AJ170" i="75"/>
  <c r="AK169" i="75"/>
  <c r="AJ169" i="75"/>
  <c r="Y169" i="75"/>
  <c r="X169" i="75"/>
  <c r="V169" i="75"/>
  <c r="U169" i="75"/>
  <c r="AK168" i="75"/>
  <c r="AJ168" i="75"/>
  <c r="Y168" i="75"/>
  <c r="X168" i="75"/>
  <c r="V168" i="75"/>
  <c r="U168" i="75"/>
  <c r="AK167" i="75"/>
  <c r="AJ167" i="75"/>
  <c r="Y167" i="75"/>
  <c r="X167" i="75"/>
  <c r="V167" i="75"/>
  <c r="U167" i="75"/>
  <c r="AK166" i="75"/>
  <c r="AJ166" i="75"/>
  <c r="Y166" i="75"/>
  <c r="X166" i="75"/>
  <c r="V166" i="75"/>
  <c r="U166" i="75"/>
  <c r="AK165" i="75"/>
  <c r="AJ165" i="75"/>
  <c r="Y165" i="75"/>
  <c r="X165" i="75"/>
  <c r="V165" i="75"/>
  <c r="U165" i="75"/>
  <c r="AK164" i="75"/>
  <c r="AJ164" i="75"/>
  <c r="Y164" i="75"/>
  <c r="X164" i="75"/>
  <c r="V164" i="75"/>
  <c r="U164" i="75"/>
  <c r="AK163" i="75"/>
  <c r="AJ163" i="75"/>
  <c r="Y163" i="75"/>
  <c r="X163" i="75"/>
  <c r="V163" i="75"/>
  <c r="U163" i="75"/>
  <c r="AK162" i="75"/>
  <c r="AJ162" i="75"/>
  <c r="Y162" i="75"/>
  <c r="X162" i="75"/>
  <c r="V162" i="75"/>
  <c r="U162" i="75"/>
  <c r="AK161" i="75"/>
  <c r="AJ161" i="75"/>
  <c r="Y161" i="75"/>
  <c r="X161" i="75"/>
  <c r="V161" i="75"/>
  <c r="U161" i="75"/>
  <c r="AK160" i="75"/>
  <c r="AJ160" i="75"/>
  <c r="Y160" i="75"/>
  <c r="X160" i="75"/>
  <c r="V160" i="75"/>
  <c r="U160" i="75"/>
  <c r="AK159" i="75"/>
  <c r="AJ159" i="75"/>
  <c r="Y159" i="75"/>
  <c r="X159" i="75"/>
  <c r="V159" i="75"/>
  <c r="U159" i="75"/>
  <c r="AK158" i="75"/>
  <c r="AJ158" i="75"/>
  <c r="Y158" i="75"/>
  <c r="X158" i="75"/>
  <c r="V158" i="75"/>
  <c r="U158" i="75"/>
  <c r="AK157" i="75"/>
  <c r="AJ157" i="75"/>
  <c r="Y157" i="75"/>
  <c r="X157" i="75"/>
  <c r="V157" i="75"/>
  <c r="U157" i="75"/>
  <c r="AK156" i="75"/>
  <c r="AJ156" i="75"/>
  <c r="Y156" i="75"/>
  <c r="X156" i="75"/>
  <c r="V156" i="75"/>
  <c r="U156" i="75"/>
  <c r="AK155" i="75"/>
  <c r="AJ155" i="75"/>
  <c r="Y155" i="75"/>
  <c r="X155" i="75"/>
  <c r="V155" i="75"/>
  <c r="U155" i="75"/>
  <c r="U173" i="75" s="1"/>
  <c r="AK154" i="75"/>
  <c r="AJ154" i="75"/>
  <c r="Y154" i="75"/>
  <c r="X154" i="75"/>
  <c r="V154" i="75"/>
  <c r="U154" i="75"/>
  <c r="AK153" i="75"/>
  <c r="AJ153" i="75"/>
  <c r="Y153" i="75"/>
  <c r="X153" i="75"/>
  <c r="X173" i="75" s="1"/>
  <c r="V153" i="75"/>
  <c r="U153" i="75"/>
  <c r="AK152" i="75"/>
  <c r="W152" i="75"/>
  <c r="K152" i="75"/>
  <c r="F152" i="75"/>
  <c r="AK151" i="75"/>
  <c r="AJ151" i="75"/>
  <c r="Y151" i="75"/>
  <c r="X151" i="75"/>
  <c r="V151" i="75"/>
  <c r="U151" i="75"/>
  <c r="AK150" i="75"/>
  <c r="AJ150" i="75"/>
  <c r="AK149" i="75"/>
  <c r="AJ149" i="75"/>
  <c r="AK148" i="75"/>
  <c r="AJ148" i="75"/>
  <c r="Y148" i="75"/>
  <c r="X148" i="75"/>
  <c r="V148" i="75"/>
  <c r="U148" i="75"/>
  <c r="AK147" i="75"/>
  <c r="AJ147" i="75"/>
  <c r="Y147" i="75"/>
  <c r="X147" i="75"/>
  <c r="V147" i="75"/>
  <c r="U147" i="75"/>
  <c r="AK146" i="75"/>
  <c r="AJ146" i="75"/>
  <c r="Y146" i="75"/>
  <c r="X146" i="75"/>
  <c r="V146" i="75"/>
  <c r="U146" i="75"/>
  <c r="AK145" i="75"/>
  <c r="AJ145" i="75"/>
  <c r="Y145" i="75"/>
  <c r="X145" i="75"/>
  <c r="V145" i="75"/>
  <c r="U145" i="75"/>
  <c r="AK144" i="75"/>
  <c r="AJ144" i="75"/>
  <c r="Y144" i="75"/>
  <c r="X144" i="75"/>
  <c r="V144" i="75"/>
  <c r="U144" i="75"/>
  <c r="AK143" i="75"/>
  <c r="AJ143" i="75"/>
  <c r="Y143" i="75"/>
  <c r="X143" i="75"/>
  <c r="V143" i="75"/>
  <c r="U143" i="75"/>
  <c r="AK142" i="75"/>
  <c r="AJ142" i="75"/>
  <c r="Y142" i="75"/>
  <c r="X142" i="75"/>
  <c r="V142" i="75"/>
  <c r="U142" i="75"/>
  <c r="AK141" i="75"/>
  <c r="AJ141" i="75"/>
  <c r="Y141" i="75"/>
  <c r="X141" i="75"/>
  <c r="V141" i="75"/>
  <c r="U141" i="75"/>
  <c r="AK140" i="75"/>
  <c r="AJ140" i="75"/>
  <c r="Y140" i="75"/>
  <c r="X140" i="75"/>
  <c r="V140" i="75"/>
  <c r="U140" i="75"/>
  <c r="AK139" i="75"/>
  <c r="AJ139" i="75"/>
  <c r="Y139" i="75"/>
  <c r="X139" i="75"/>
  <c r="V139" i="75"/>
  <c r="U139" i="75"/>
  <c r="AK138" i="75"/>
  <c r="AJ138" i="75"/>
  <c r="Y138" i="75"/>
  <c r="X138" i="75"/>
  <c r="V138" i="75"/>
  <c r="U138" i="75"/>
  <c r="AK137" i="75"/>
  <c r="AJ137" i="75"/>
  <c r="Y137" i="75"/>
  <c r="X137" i="75"/>
  <c r="V137" i="75"/>
  <c r="U137" i="75"/>
  <c r="AK136" i="75"/>
  <c r="AJ136" i="75"/>
  <c r="Y136" i="75"/>
  <c r="X136" i="75"/>
  <c r="V136" i="75"/>
  <c r="U136" i="75"/>
  <c r="AK135" i="75"/>
  <c r="AJ135" i="75"/>
  <c r="Y135" i="75"/>
  <c r="X135" i="75"/>
  <c r="V135" i="75"/>
  <c r="U135" i="75"/>
  <c r="AK134" i="75"/>
  <c r="AJ134" i="75"/>
  <c r="Y134" i="75"/>
  <c r="X134" i="75"/>
  <c r="V134" i="75"/>
  <c r="U134" i="75"/>
  <c r="AK133" i="75"/>
  <c r="AJ133" i="75"/>
  <c r="Y133" i="75"/>
  <c r="X133" i="75"/>
  <c r="V133" i="75"/>
  <c r="U133" i="75"/>
  <c r="AK132" i="75"/>
  <c r="AJ132" i="75"/>
  <c r="Y132" i="75"/>
  <c r="X132" i="75"/>
  <c r="V132" i="75"/>
  <c r="U132" i="75"/>
  <c r="AK131" i="75"/>
  <c r="W131" i="75"/>
  <c r="K131" i="75"/>
  <c r="F131" i="75"/>
  <c r="AK130" i="75"/>
  <c r="AJ130" i="75"/>
  <c r="Y130" i="75"/>
  <c r="X130" i="75"/>
  <c r="V130" i="75"/>
  <c r="U130" i="75"/>
  <c r="AK129" i="75"/>
  <c r="AJ129" i="75"/>
  <c r="AC125" i="75" s="1"/>
  <c r="AK128" i="75"/>
  <c r="AJ128" i="75"/>
  <c r="AK127" i="75"/>
  <c r="AJ127" i="75"/>
  <c r="Y127" i="75"/>
  <c r="F65" i="40"/>
  <c r="X127" i="75"/>
  <c r="E65" i="40"/>
  <c r="T21" i="3" s="1"/>
  <c r="V127" i="75"/>
  <c r="C65" i="40" s="1"/>
  <c r="U21" i="3"/>
  <c r="U127" i="75"/>
  <c r="B65" i="40"/>
  <c r="R21" i="3" s="1"/>
  <c r="AK126" i="75"/>
  <c r="AJ126" i="75"/>
  <c r="Y126" i="75"/>
  <c r="X126" i="75"/>
  <c r="V126" i="75"/>
  <c r="U126" i="75"/>
  <c r="AK125" i="75"/>
  <c r="AJ125" i="75"/>
  <c r="Y125" i="75"/>
  <c r="X125" i="75"/>
  <c r="V125" i="75"/>
  <c r="U125" i="75"/>
  <c r="AK124" i="75"/>
  <c r="AJ124" i="75"/>
  <c r="Y124" i="75"/>
  <c r="X124" i="75"/>
  <c r="V124" i="75"/>
  <c r="U124" i="75"/>
  <c r="AK123" i="75"/>
  <c r="AJ123" i="75"/>
  <c r="Y123" i="75"/>
  <c r="X123" i="75"/>
  <c r="V123" i="75"/>
  <c r="U123" i="75"/>
  <c r="AK122" i="75"/>
  <c r="AJ122" i="75"/>
  <c r="Y122" i="75"/>
  <c r="X122" i="75"/>
  <c r="V122" i="75"/>
  <c r="U122" i="75"/>
  <c r="AK121" i="75"/>
  <c r="AJ121" i="75"/>
  <c r="Y121" i="75"/>
  <c r="X121" i="75"/>
  <c r="V121" i="75"/>
  <c r="U121" i="75"/>
  <c r="AK120" i="75"/>
  <c r="AJ120" i="75"/>
  <c r="Y120" i="75"/>
  <c r="X120" i="75"/>
  <c r="V120" i="75"/>
  <c r="U120" i="75"/>
  <c r="AK119" i="75"/>
  <c r="AJ119" i="75"/>
  <c r="Y119" i="75"/>
  <c r="X119" i="75"/>
  <c r="V119" i="75"/>
  <c r="U119" i="75"/>
  <c r="AK118" i="75"/>
  <c r="AJ118" i="75"/>
  <c r="Y118" i="75"/>
  <c r="X118" i="75"/>
  <c r="V118" i="75"/>
  <c r="U118" i="75"/>
  <c r="AK117" i="75"/>
  <c r="AJ117" i="75"/>
  <c r="Y117" i="75"/>
  <c r="X117" i="75"/>
  <c r="V117" i="75"/>
  <c r="U117" i="75"/>
  <c r="AK116" i="75"/>
  <c r="AJ116" i="75"/>
  <c r="Y116" i="75"/>
  <c r="X116" i="75"/>
  <c r="V116" i="75"/>
  <c r="U116" i="75"/>
  <c r="AK115" i="75"/>
  <c r="AJ115" i="75"/>
  <c r="Y115" i="75"/>
  <c r="X115" i="75"/>
  <c r="V115" i="75"/>
  <c r="U115" i="75"/>
  <c r="AK114" i="75"/>
  <c r="AJ114" i="75"/>
  <c r="Y114" i="75"/>
  <c r="X114" i="75"/>
  <c r="V114" i="75"/>
  <c r="U114" i="75"/>
  <c r="AK113" i="75"/>
  <c r="AJ113" i="75"/>
  <c r="Y113" i="75"/>
  <c r="X113" i="75"/>
  <c r="V113" i="75"/>
  <c r="U113" i="75"/>
  <c r="AK112" i="75"/>
  <c r="AD115" i="75" s="1"/>
  <c r="AJ112" i="75"/>
  <c r="Y112" i="75"/>
  <c r="X112" i="75"/>
  <c r="V112" i="75"/>
  <c r="U112" i="75"/>
  <c r="AK111" i="75"/>
  <c r="AJ111" i="75"/>
  <c r="Y111" i="75"/>
  <c r="X111" i="75"/>
  <c r="V111" i="75"/>
  <c r="U111" i="75"/>
  <c r="AK110" i="75"/>
  <c r="W110" i="75"/>
  <c r="K110" i="75"/>
  <c r="F110" i="75"/>
  <c r="AK109" i="75"/>
  <c r="AJ109" i="75"/>
  <c r="Y109" i="75"/>
  <c r="X109" i="75"/>
  <c r="V109" i="75"/>
  <c r="U109" i="75"/>
  <c r="AK108" i="75"/>
  <c r="AJ108" i="75"/>
  <c r="AK107" i="75"/>
  <c r="AJ107" i="75"/>
  <c r="AK106" i="75"/>
  <c r="AJ106" i="75"/>
  <c r="Y106" i="75"/>
  <c r="X106" i="75"/>
  <c r="V106" i="75"/>
  <c r="U106" i="75"/>
  <c r="B66" i="40" s="1"/>
  <c r="R22" i="3" s="1"/>
  <c r="AK105" i="75"/>
  <c r="AJ105" i="75"/>
  <c r="Y105" i="75"/>
  <c r="X105" i="75"/>
  <c r="V105" i="75"/>
  <c r="U105" i="75"/>
  <c r="AK104" i="75"/>
  <c r="AJ104" i="75"/>
  <c r="Y104" i="75"/>
  <c r="X104" i="75"/>
  <c r="V104" i="75"/>
  <c r="U104" i="75"/>
  <c r="AK103" i="75"/>
  <c r="AJ103" i="75"/>
  <c r="Y103" i="75"/>
  <c r="X103" i="75"/>
  <c r="V103" i="75"/>
  <c r="U103" i="75"/>
  <c r="AK102" i="75"/>
  <c r="AJ102" i="75"/>
  <c r="Y102" i="75"/>
  <c r="X102" i="75"/>
  <c r="V102" i="75"/>
  <c r="U102" i="75"/>
  <c r="AK101" i="75"/>
  <c r="AJ101" i="75"/>
  <c r="Y101" i="75"/>
  <c r="X101" i="75"/>
  <c r="V101" i="75"/>
  <c r="U101" i="75"/>
  <c r="AK100" i="75"/>
  <c r="AJ100" i="75"/>
  <c r="Y100" i="75"/>
  <c r="X100" i="75"/>
  <c r="V100" i="75"/>
  <c r="U100" i="75"/>
  <c r="AK99" i="75"/>
  <c r="AJ99" i="75"/>
  <c r="Y99" i="75"/>
  <c r="X99" i="75"/>
  <c r="V99" i="75"/>
  <c r="U99" i="75"/>
  <c r="AK98" i="75"/>
  <c r="AJ98" i="75"/>
  <c r="Y98" i="75"/>
  <c r="X98" i="75"/>
  <c r="V98" i="75"/>
  <c r="U98" i="75"/>
  <c r="AK97" i="75"/>
  <c r="AJ97" i="75"/>
  <c r="Y97" i="75"/>
  <c r="X97" i="75"/>
  <c r="V97" i="75"/>
  <c r="U97" i="75"/>
  <c r="AK96" i="75"/>
  <c r="AJ96" i="75"/>
  <c r="Y96" i="75"/>
  <c r="X96" i="75"/>
  <c r="V96" i="75"/>
  <c r="U96" i="75"/>
  <c r="AK95" i="75"/>
  <c r="AJ95" i="75"/>
  <c r="Y95" i="75"/>
  <c r="X95" i="75"/>
  <c r="V95" i="75"/>
  <c r="U95" i="75"/>
  <c r="AK94" i="75"/>
  <c r="AJ94" i="75"/>
  <c r="Y94" i="75"/>
  <c r="X94" i="75"/>
  <c r="V94" i="75"/>
  <c r="U94" i="75"/>
  <c r="AK93" i="75"/>
  <c r="AJ93" i="75"/>
  <c r="Y93" i="75"/>
  <c r="X93" i="75"/>
  <c r="V93" i="75"/>
  <c r="U93" i="75"/>
  <c r="AK92" i="75"/>
  <c r="AJ92" i="75"/>
  <c r="Y92" i="75"/>
  <c r="X92" i="75"/>
  <c r="V92" i="75"/>
  <c r="U92" i="75"/>
  <c r="AK91" i="75"/>
  <c r="AJ91" i="75"/>
  <c r="Y91" i="75"/>
  <c r="X91" i="75"/>
  <c r="V91" i="75"/>
  <c r="U91" i="75"/>
  <c r="AK90" i="75"/>
  <c r="AJ90" i="75"/>
  <c r="AC92" i="75" s="1"/>
  <c r="AH92" i="75" s="1"/>
  <c r="Y90" i="75"/>
  <c r="X90" i="75"/>
  <c r="V90" i="75"/>
  <c r="U90" i="75"/>
  <c r="AK89" i="75"/>
  <c r="W89" i="75"/>
  <c r="K89" i="75"/>
  <c r="F89" i="75"/>
  <c r="AK88" i="75"/>
  <c r="AJ88" i="75"/>
  <c r="Y88" i="75"/>
  <c r="X88" i="75"/>
  <c r="V88" i="75"/>
  <c r="U88" i="75"/>
  <c r="AK87" i="75"/>
  <c r="AJ87" i="75"/>
  <c r="AK86" i="75"/>
  <c r="AJ86" i="75"/>
  <c r="AK85" i="75"/>
  <c r="AJ85" i="75"/>
  <c r="Y85" i="75"/>
  <c r="X85" i="75"/>
  <c r="V85" i="75"/>
  <c r="U85" i="75"/>
  <c r="AK84" i="75"/>
  <c r="AJ84" i="75"/>
  <c r="Y84" i="75"/>
  <c r="X84" i="75"/>
  <c r="V84" i="75"/>
  <c r="U84" i="75"/>
  <c r="AK83" i="75"/>
  <c r="AJ83" i="75"/>
  <c r="Y83" i="75"/>
  <c r="X83" i="75"/>
  <c r="V83" i="75"/>
  <c r="U83" i="75"/>
  <c r="AK82" i="75"/>
  <c r="AJ82" i="75"/>
  <c r="Y82" i="75"/>
  <c r="X82" i="75"/>
  <c r="V82" i="75"/>
  <c r="U82" i="75"/>
  <c r="AK81" i="75"/>
  <c r="AJ81" i="75"/>
  <c r="Y81" i="75"/>
  <c r="X81" i="75"/>
  <c r="V81" i="75"/>
  <c r="U81" i="75"/>
  <c r="AK80" i="75"/>
  <c r="AJ80" i="75"/>
  <c r="Y80" i="75"/>
  <c r="X80" i="75"/>
  <c r="V80" i="75"/>
  <c r="U80" i="75"/>
  <c r="AK79" i="75"/>
  <c r="AJ79" i="75"/>
  <c r="Y79" i="75"/>
  <c r="X79" i="75"/>
  <c r="V79" i="75"/>
  <c r="U79" i="75"/>
  <c r="AK78" i="75"/>
  <c r="AJ78" i="75"/>
  <c r="Y78" i="75"/>
  <c r="X78" i="75"/>
  <c r="V78" i="75"/>
  <c r="U78" i="75"/>
  <c r="AK77" i="75"/>
  <c r="AJ77" i="75"/>
  <c r="Y77" i="75"/>
  <c r="X77" i="75"/>
  <c r="V77" i="75"/>
  <c r="U77" i="75"/>
  <c r="AK76" i="75"/>
  <c r="AJ76" i="75"/>
  <c r="Y76" i="75"/>
  <c r="X76" i="75"/>
  <c r="V76" i="75"/>
  <c r="U76" i="75"/>
  <c r="AK75" i="75"/>
  <c r="AJ75" i="75"/>
  <c r="Y75" i="75"/>
  <c r="X75" i="75"/>
  <c r="V75" i="75"/>
  <c r="U75" i="75"/>
  <c r="AK74" i="75"/>
  <c r="AJ74" i="75"/>
  <c r="Y74" i="75"/>
  <c r="X74" i="75"/>
  <c r="V74" i="75"/>
  <c r="U74" i="75"/>
  <c r="AK73" i="75"/>
  <c r="AJ73" i="75"/>
  <c r="Y73" i="75"/>
  <c r="X73" i="75"/>
  <c r="V73" i="75"/>
  <c r="U73" i="75"/>
  <c r="AK72" i="75"/>
  <c r="AJ72" i="75"/>
  <c r="Y72" i="75"/>
  <c r="X72" i="75"/>
  <c r="V72" i="75"/>
  <c r="U72" i="75"/>
  <c r="AK71" i="75"/>
  <c r="AJ71" i="75"/>
  <c r="Y71" i="75"/>
  <c r="X71" i="75"/>
  <c r="V71" i="75"/>
  <c r="U71" i="75"/>
  <c r="AK70" i="75"/>
  <c r="AJ70" i="75"/>
  <c r="Y70" i="75"/>
  <c r="X70" i="75"/>
  <c r="V70" i="75"/>
  <c r="U70" i="75"/>
  <c r="AK69" i="75"/>
  <c r="AJ69" i="75"/>
  <c r="AC79" i="75" s="1"/>
  <c r="AH79" i="75" s="1"/>
  <c r="Y69" i="75"/>
  <c r="X69" i="75"/>
  <c r="E53" i="40" s="1"/>
  <c r="T9" i="3" s="1"/>
  <c r="V69" i="75"/>
  <c r="U69" i="75"/>
  <c r="AK68" i="75"/>
  <c r="W68" i="75"/>
  <c r="K68" i="75"/>
  <c r="F68" i="75"/>
  <c r="AK67" i="75"/>
  <c r="AJ67" i="75"/>
  <c r="Y67" i="75"/>
  <c r="X67" i="75"/>
  <c r="V67" i="75"/>
  <c r="U67" i="75"/>
  <c r="AK66" i="75"/>
  <c r="AJ66" i="75"/>
  <c r="AK65" i="75"/>
  <c r="AJ65" i="75"/>
  <c r="AK64" i="75"/>
  <c r="AJ64" i="75"/>
  <c r="Y64" i="75"/>
  <c r="X64" i="75"/>
  <c r="V64" i="75"/>
  <c r="U64" i="75"/>
  <c r="AK63" i="75"/>
  <c r="AJ63" i="75"/>
  <c r="Y63" i="75"/>
  <c r="X63" i="75"/>
  <c r="V63" i="75"/>
  <c r="U63" i="75"/>
  <c r="AK62" i="75"/>
  <c r="AJ62" i="75"/>
  <c r="Y62" i="75"/>
  <c r="X62" i="75"/>
  <c r="V62" i="75"/>
  <c r="U62" i="75"/>
  <c r="AK61" i="75"/>
  <c r="AJ61" i="75"/>
  <c r="Y61" i="75"/>
  <c r="X61" i="75"/>
  <c r="V61" i="75"/>
  <c r="U61" i="75"/>
  <c r="AK60" i="75"/>
  <c r="AJ60" i="75"/>
  <c r="Y60" i="75"/>
  <c r="X60" i="75"/>
  <c r="V60" i="75"/>
  <c r="U60" i="75"/>
  <c r="AK59" i="75"/>
  <c r="AJ59" i="75"/>
  <c r="Y59" i="75"/>
  <c r="X59" i="75"/>
  <c r="V59" i="75"/>
  <c r="U59" i="75"/>
  <c r="AK58" i="75"/>
  <c r="AJ58" i="75"/>
  <c r="Y58" i="75"/>
  <c r="X58" i="75"/>
  <c r="V58" i="75"/>
  <c r="U58" i="75"/>
  <c r="AK57" i="75"/>
  <c r="AJ57" i="75"/>
  <c r="Y57" i="75"/>
  <c r="X57" i="75"/>
  <c r="V57" i="75"/>
  <c r="U57" i="75"/>
  <c r="AK56" i="75"/>
  <c r="AJ56" i="75"/>
  <c r="Y56" i="75"/>
  <c r="X56" i="75"/>
  <c r="V56" i="75"/>
  <c r="U56" i="75"/>
  <c r="AK55" i="75"/>
  <c r="AJ55" i="75"/>
  <c r="Y55" i="75"/>
  <c r="X55" i="75"/>
  <c r="V55" i="75"/>
  <c r="U55" i="75"/>
  <c r="AK54" i="75"/>
  <c r="AJ54" i="75"/>
  <c r="Y54" i="75"/>
  <c r="X54" i="75"/>
  <c r="V54" i="75"/>
  <c r="U54" i="75"/>
  <c r="AK53" i="75"/>
  <c r="AJ53" i="75"/>
  <c r="Y53" i="75"/>
  <c r="X53" i="75"/>
  <c r="V53" i="75"/>
  <c r="U53" i="75"/>
  <c r="AK52" i="75"/>
  <c r="AJ52" i="75"/>
  <c r="Y52" i="75"/>
  <c r="X52" i="75"/>
  <c r="V52" i="75"/>
  <c r="U52" i="75"/>
  <c r="AK51" i="75"/>
  <c r="AJ51" i="75"/>
  <c r="Y51" i="75"/>
  <c r="X51" i="75"/>
  <c r="V51" i="75"/>
  <c r="U51" i="75"/>
  <c r="AK50" i="75"/>
  <c r="AJ50" i="75"/>
  <c r="Y50" i="75"/>
  <c r="X50" i="75"/>
  <c r="X68" i="75"/>
  <c r="V50" i="75"/>
  <c r="U50" i="75"/>
  <c r="AK49" i="75"/>
  <c r="AJ49" i="75"/>
  <c r="Y49" i="75"/>
  <c r="X49" i="75"/>
  <c r="V49" i="75"/>
  <c r="U49" i="75"/>
  <c r="AK48" i="75"/>
  <c r="AA63" i="75" s="1"/>
  <c r="AF63" i="75" s="1"/>
  <c r="AJ48" i="75"/>
  <c r="Y48" i="75"/>
  <c r="X48" i="75"/>
  <c r="V48" i="75"/>
  <c r="U48" i="75"/>
  <c r="AK47" i="75"/>
  <c r="W47" i="75"/>
  <c r="K47" i="75"/>
  <c r="F47" i="75"/>
  <c r="AK46" i="75"/>
  <c r="AJ46" i="75"/>
  <c r="Y46" i="75"/>
  <c r="X46" i="75"/>
  <c r="V46" i="75"/>
  <c r="U46" i="75"/>
  <c r="AK45" i="75"/>
  <c r="AJ45" i="75"/>
  <c r="AK44" i="75"/>
  <c r="AJ44" i="75"/>
  <c r="AK43" i="75"/>
  <c r="AJ43" i="75"/>
  <c r="Y43" i="75"/>
  <c r="X43" i="75"/>
  <c r="V43" i="75"/>
  <c r="C66" i="40"/>
  <c r="U43" i="75"/>
  <c r="AK42" i="75"/>
  <c r="AJ42" i="75"/>
  <c r="Y42" i="75"/>
  <c r="X42" i="75"/>
  <c r="V42" i="75"/>
  <c r="U42" i="75"/>
  <c r="AK41" i="75"/>
  <c r="AJ41" i="75"/>
  <c r="Y41" i="75"/>
  <c r="X41" i="75"/>
  <c r="V41" i="75"/>
  <c r="U41" i="75"/>
  <c r="AK40" i="75"/>
  <c r="AJ40" i="75"/>
  <c r="Y40" i="75"/>
  <c r="X40" i="75"/>
  <c r="V40" i="75"/>
  <c r="U40" i="75"/>
  <c r="AK39" i="75"/>
  <c r="AJ39" i="75"/>
  <c r="Y39" i="75"/>
  <c r="X39" i="75"/>
  <c r="V39" i="75"/>
  <c r="U39" i="75"/>
  <c r="AK38" i="75"/>
  <c r="AJ38" i="75"/>
  <c r="Y38" i="75"/>
  <c r="X38" i="75"/>
  <c r="V38" i="75"/>
  <c r="U38" i="75"/>
  <c r="AK37" i="75"/>
  <c r="AJ37" i="75"/>
  <c r="Y37" i="75"/>
  <c r="X37" i="75"/>
  <c r="V37" i="75"/>
  <c r="U37" i="75"/>
  <c r="AK36" i="75"/>
  <c r="AJ36" i="75"/>
  <c r="Y36" i="75"/>
  <c r="X36" i="75"/>
  <c r="V36" i="75"/>
  <c r="U36" i="75"/>
  <c r="AK35" i="75"/>
  <c r="AJ35" i="75"/>
  <c r="Y35" i="75"/>
  <c r="X35" i="75"/>
  <c r="V35" i="75"/>
  <c r="U35" i="75"/>
  <c r="AK34" i="75"/>
  <c r="AJ34" i="75"/>
  <c r="Y34" i="75"/>
  <c r="X34" i="75"/>
  <c r="V34" i="75"/>
  <c r="U34" i="75"/>
  <c r="AK33" i="75"/>
  <c r="AJ33" i="75"/>
  <c r="Y33" i="75"/>
  <c r="X33" i="75"/>
  <c r="V33" i="75"/>
  <c r="U33" i="75"/>
  <c r="AK32" i="75"/>
  <c r="AJ32" i="75"/>
  <c r="Y32" i="75"/>
  <c r="X32" i="75"/>
  <c r="V32" i="75"/>
  <c r="U32" i="75"/>
  <c r="AK31" i="75"/>
  <c r="AJ31" i="75"/>
  <c r="Y31" i="75"/>
  <c r="X31" i="75"/>
  <c r="V31" i="75"/>
  <c r="U31" i="75"/>
  <c r="AK30" i="75"/>
  <c r="AJ30" i="75"/>
  <c r="Y30" i="75"/>
  <c r="X30" i="75"/>
  <c r="V30" i="75"/>
  <c r="U30" i="75"/>
  <c r="AK29" i="75"/>
  <c r="AJ29" i="75"/>
  <c r="Y29" i="75"/>
  <c r="X29" i="75"/>
  <c r="V29" i="75"/>
  <c r="U29" i="75"/>
  <c r="AK28" i="75"/>
  <c r="AJ28" i="75"/>
  <c r="Y28" i="75"/>
  <c r="X28" i="75"/>
  <c r="V28" i="75"/>
  <c r="U28" i="75"/>
  <c r="AK27" i="75"/>
  <c r="AJ27" i="75"/>
  <c r="Y27" i="75"/>
  <c r="X27" i="75"/>
  <c r="V27" i="75"/>
  <c r="V47" i="75" s="1"/>
  <c r="U27" i="75"/>
  <c r="AK26" i="75"/>
  <c r="W26" i="75"/>
  <c r="K26" i="75"/>
  <c r="F26" i="75"/>
  <c r="F425" i="75" s="1"/>
  <c r="AK25" i="75"/>
  <c r="AJ25" i="75"/>
  <c r="Y25" i="75"/>
  <c r="X25" i="75"/>
  <c r="V25" i="75"/>
  <c r="U25" i="75"/>
  <c r="AK24" i="75"/>
  <c r="AJ24" i="75"/>
  <c r="AK23" i="75"/>
  <c r="AJ23" i="75"/>
  <c r="AK22" i="75"/>
  <c r="AJ22" i="75"/>
  <c r="Y22" i="75"/>
  <c r="F66" i="40" s="1"/>
  <c r="X22" i="75"/>
  <c r="E66" i="40" s="1"/>
  <c r="T22" i="3" s="1"/>
  <c r="V22" i="75"/>
  <c r="U22" i="75"/>
  <c r="AK21" i="75"/>
  <c r="AJ21" i="75"/>
  <c r="Y21" i="75"/>
  <c r="F68" i="40" s="1"/>
  <c r="X21" i="75"/>
  <c r="E68" i="40" s="1"/>
  <c r="V21" i="75"/>
  <c r="U21" i="75"/>
  <c r="AK20" i="75"/>
  <c r="AJ20" i="75"/>
  <c r="Y20" i="75"/>
  <c r="X20" i="75"/>
  <c r="V20" i="75"/>
  <c r="U20" i="75"/>
  <c r="AK19" i="75"/>
  <c r="AJ19" i="75"/>
  <c r="Y19" i="75"/>
  <c r="X19" i="75"/>
  <c r="V19" i="75"/>
  <c r="U19" i="75"/>
  <c r="AK18" i="75"/>
  <c r="AJ18" i="75"/>
  <c r="Y18" i="75"/>
  <c r="X18" i="75"/>
  <c r="V18" i="75"/>
  <c r="C62" i="40"/>
  <c r="U18" i="75"/>
  <c r="AK17" i="75"/>
  <c r="AJ17" i="75"/>
  <c r="Y17" i="75"/>
  <c r="X17" i="75"/>
  <c r="V17" i="75"/>
  <c r="U17" i="75"/>
  <c r="AK16" i="75"/>
  <c r="AJ16" i="75"/>
  <c r="Y16" i="75"/>
  <c r="X16" i="75"/>
  <c r="V16" i="75"/>
  <c r="U16" i="75"/>
  <c r="AK15" i="75"/>
  <c r="AJ15" i="75"/>
  <c r="Y15" i="75"/>
  <c r="X15" i="75"/>
  <c r="V15" i="75"/>
  <c r="U15" i="75"/>
  <c r="AK14" i="75"/>
  <c r="AJ14" i="75"/>
  <c r="Y14" i="75"/>
  <c r="X14" i="75"/>
  <c r="V14" i="75"/>
  <c r="U14" i="75"/>
  <c r="U26" i="75" s="1"/>
  <c r="AK13" i="75"/>
  <c r="AJ13" i="75"/>
  <c r="Y13" i="75"/>
  <c r="F60" i="40" s="1"/>
  <c r="X13" i="75"/>
  <c r="E60" i="40" s="1"/>
  <c r="V13" i="75"/>
  <c r="C60" i="40" s="1"/>
  <c r="U13" i="75"/>
  <c r="B60" i="40"/>
  <c r="R16" i="3" s="1"/>
  <c r="AK12" i="75"/>
  <c r="AD14" i="75" s="1"/>
  <c r="AJ12" i="75"/>
  <c r="Y12" i="75"/>
  <c r="X12" i="75"/>
  <c r="V12" i="75"/>
  <c r="U12" i="75"/>
  <c r="AK11" i="75"/>
  <c r="AJ11" i="75"/>
  <c r="Y11" i="75"/>
  <c r="F58" i="40" s="1"/>
  <c r="X11" i="75"/>
  <c r="E58" i="40" s="1"/>
  <c r="V11" i="75"/>
  <c r="C58" i="40" s="1"/>
  <c r="U11" i="75"/>
  <c r="B58" i="40" s="1"/>
  <c r="R14" i="3" s="1"/>
  <c r="AK10" i="75"/>
  <c r="AJ10" i="75"/>
  <c r="Y10" i="75"/>
  <c r="X10" i="75"/>
  <c r="E57" i="40"/>
  <c r="T13" i="3" s="1"/>
  <c r="V10" i="75"/>
  <c r="U10" i="75"/>
  <c r="B57" i="40" s="1"/>
  <c r="R13" i="3" s="1"/>
  <c r="AK9" i="75"/>
  <c r="AJ9" i="75"/>
  <c r="Y9" i="75"/>
  <c r="F55" i="40" s="1"/>
  <c r="X9" i="75"/>
  <c r="V9" i="75"/>
  <c r="U9" i="75"/>
  <c r="B55" i="40" s="1"/>
  <c r="R11" i="3" s="1"/>
  <c r="AK8" i="75"/>
  <c r="AJ8" i="75"/>
  <c r="Y8" i="75"/>
  <c r="F56" i="40" s="1"/>
  <c r="X8" i="75"/>
  <c r="E56" i="40" s="1"/>
  <c r="T12" i="3" s="1"/>
  <c r="V8" i="75"/>
  <c r="C56" i="40"/>
  <c r="S12" i="3" s="1"/>
  <c r="U8" i="75"/>
  <c r="AK7" i="75"/>
  <c r="AJ7" i="75"/>
  <c r="Y7" i="75"/>
  <c r="X7" i="75"/>
  <c r="E54" i="40" s="1"/>
  <c r="T10" i="3" s="1"/>
  <c r="V7" i="75"/>
  <c r="U7" i="75"/>
  <c r="AK6" i="75"/>
  <c r="AJ6" i="75"/>
  <c r="AC16" i="75" s="1"/>
  <c r="Y6" i="75"/>
  <c r="X6" i="75"/>
  <c r="V6" i="75"/>
  <c r="C53" i="40" s="1"/>
  <c r="U9" i="3" s="1"/>
  <c r="U6" i="75"/>
  <c r="B53" i="40" s="1"/>
  <c r="P23" i="40"/>
  <c r="M75" i="3" s="1"/>
  <c r="O23" i="40"/>
  <c r="L75" i="3" s="1"/>
  <c r="M23" i="40"/>
  <c r="K75" i="3" s="1"/>
  <c r="L23" i="40"/>
  <c r="J75" i="3" s="1"/>
  <c r="K23" i="40"/>
  <c r="M50" i="3" s="1"/>
  <c r="J23" i="40"/>
  <c r="L50" i="3" s="1"/>
  <c r="H23" i="40"/>
  <c r="K50" i="3" s="1"/>
  <c r="G23" i="40"/>
  <c r="J50" i="3" s="1"/>
  <c r="F23" i="40"/>
  <c r="M25" i="3" s="1"/>
  <c r="E23" i="40"/>
  <c r="L25" i="3" s="1"/>
  <c r="C23" i="40"/>
  <c r="K25" i="3" s="1"/>
  <c r="B23" i="40"/>
  <c r="J25" i="3" s="1"/>
  <c r="W425" i="62"/>
  <c r="AK424" i="62"/>
  <c r="AJ424" i="62"/>
  <c r="Y424" i="62"/>
  <c r="X424" i="62"/>
  <c r="V424" i="62"/>
  <c r="U424" i="62"/>
  <c r="AK423" i="62"/>
  <c r="AJ423" i="62"/>
  <c r="AK422" i="62"/>
  <c r="AJ422" i="62"/>
  <c r="AK421" i="62"/>
  <c r="AJ421" i="62"/>
  <c r="Y421" i="62"/>
  <c r="X421" i="62"/>
  <c r="V421" i="62"/>
  <c r="U421" i="62"/>
  <c r="AK420" i="62"/>
  <c r="AJ420" i="62"/>
  <c r="Y420" i="62"/>
  <c r="X420" i="62"/>
  <c r="V420" i="62"/>
  <c r="U420" i="62"/>
  <c r="AK419" i="62"/>
  <c r="AJ419" i="62"/>
  <c r="Y419" i="62"/>
  <c r="X419" i="62"/>
  <c r="V419" i="62"/>
  <c r="U419" i="62"/>
  <c r="AK418" i="62"/>
  <c r="AJ418" i="62"/>
  <c r="Y418" i="62"/>
  <c r="X418" i="62"/>
  <c r="V418" i="62"/>
  <c r="U418" i="62"/>
  <c r="AK417" i="62"/>
  <c r="AJ417" i="62"/>
  <c r="Y417" i="62"/>
  <c r="X417" i="62"/>
  <c r="V417" i="62"/>
  <c r="U417" i="62"/>
  <c r="AK416" i="62"/>
  <c r="AJ416" i="62"/>
  <c r="Y416" i="62"/>
  <c r="X416" i="62"/>
  <c r="V416" i="62"/>
  <c r="U416" i="62"/>
  <c r="AK415" i="62"/>
  <c r="AJ415" i="62"/>
  <c r="Y415" i="62"/>
  <c r="X415" i="62"/>
  <c r="V415" i="62"/>
  <c r="U415" i="62"/>
  <c r="AK414" i="62"/>
  <c r="AJ414" i="62"/>
  <c r="Y414" i="62"/>
  <c r="X414" i="62"/>
  <c r="V414" i="62"/>
  <c r="U414" i="62"/>
  <c r="AK413" i="62"/>
  <c r="AJ413" i="62"/>
  <c r="Y413" i="62"/>
  <c r="X413" i="62"/>
  <c r="V413" i="62"/>
  <c r="U413" i="62"/>
  <c r="AK412" i="62"/>
  <c r="AJ412" i="62"/>
  <c r="Y412" i="62"/>
  <c r="X412" i="62"/>
  <c r="V412" i="62"/>
  <c r="U412" i="62"/>
  <c r="AK411" i="62"/>
  <c r="AJ411" i="62"/>
  <c r="Y411" i="62"/>
  <c r="X411" i="62"/>
  <c r="V411" i="62"/>
  <c r="U411" i="62"/>
  <c r="AK410" i="62"/>
  <c r="AJ410" i="62"/>
  <c r="Y410" i="62"/>
  <c r="X410" i="62"/>
  <c r="V410" i="62"/>
  <c r="U410" i="62"/>
  <c r="AK409" i="62"/>
  <c r="AJ409" i="62"/>
  <c r="Y409" i="62"/>
  <c r="X409" i="62"/>
  <c r="V409" i="62"/>
  <c r="U409" i="62"/>
  <c r="AK408" i="62"/>
  <c r="AJ408" i="62"/>
  <c r="Y408" i="62"/>
  <c r="X408" i="62"/>
  <c r="V408" i="62"/>
  <c r="U408" i="62"/>
  <c r="AK407" i="62"/>
  <c r="AJ407" i="62"/>
  <c r="Y407" i="62"/>
  <c r="X407" i="62"/>
  <c r="V407" i="62"/>
  <c r="U407" i="62"/>
  <c r="AK406" i="62"/>
  <c r="AJ406" i="62"/>
  <c r="Z412" i="62" s="1"/>
  <c r="Y406" i="62"/>
  <c r="X406" i="62"/>
  <c r="V406" i="62"/>
  <c r="U406" i="62"/>
  <c r="AK405" i="62"/>
  <c r="AJ405" i="62"/>
  <c r="Y405" i="62"/>
  <c r="X405" i="62"/>
  <c r="V405" i="62"/>
  <c r="U405" i="62"/>
  <c r="W404" i="62"/>
  <c r="AK403" i="62"/>
  <c r="AJ403" i="62"/>
  <c r="Y403" i="62"/>
  <c r="X403" i="62"/>
  <c r="V403" i="62"/>
  <c r="U403" i="62"/>
  <c r="AK402" i="62"/>
  <c r="AJ402" i="62"/>
  <c r="AK401" i="62"/>
  <c r="AJ401" i="62"/>
  <c r="AK400" i="62"/>
  <c r="AJ400" i="62"/>
  <c r="Y400" i="62"/>
  <c r="X400" i="62"/>
  <c r="V400" i="62"/>
  <c r="U400" i="62"/>
  <c r="AK399" i="62"/>
  <c r="AJ399" i="62"/>
  <c r="Y399" i="62"/>
  <c r="X399" i="62"/>
  <c r="V399" i="62"/>
  <c r="U399" i="62"/>
  <c r="AK398" i="62"/>
  <c r="AJ398" i="62"/>
  <c r="Y398" i="62"/>
  <c r="X398" i="62"/>
  <c r="V398" i="62"/>
  <c r="U398" i="62"/>
  <c r="AK397" i="62"/>
  <c r="AJ397" i="62"/>
  <c r="Y397" i="62"/>
  <c r="X397" i="62"/>
  <c r="V397" i="62"/>
  <c r="U397" i="62"/>
  <c r="AK396" i="62"/>
  <c r="AJ396" i="62"/>
  <c r="Y396" i="62"/>
  <c r="X396" i="62"/>
  <c r="V396" i="62"/>
  <c r="U396" i="62"/>
  <c r="AK395" i="62"/>
  <c r="AJ395" i="62"/>
  <c r="Y395" i="62"/>
  <c r="X395" i="62"/>
  <c r="V395" i="62"/>
  <c r="U395" i="62"/>
  <c r="AK394" i="62"/>
  <c r="AJ394" i="62"/>
  <c r="Y394" i="62"/>
  <c r="X394" i="62"/>
  <c r="V394" i="62"/>
  <c r="U394" i="62"/>
  <c r="AK393" i="62"/>
  <c r="AJ393" i="62"/>
  <c r="Y393" i="62"/>
  <c r="X393" i="62"/>
  <c r="V393" i="62"/>
  <c r="U393" i="62"/>
  <c r="AK392" i="62"/>
  <c r="AJ392" i="62"/>
  <c r="Y392" i="62"/>
  <c r="X392" i="62"/>
  <c r="V392" i="62"/>
  <c r="U392" i="62"/>
  <c r="AK391" i="62"/>
  <c r="AJ391" i="62"/>
  <c r="Y391" i="62"/>
  <c r="X391" i="62"/>
  <c r="V391" i="62"/>
  <c r="U391" i="62"/>
  <c r="AK390" i="62"/>
  <c r="AJ390" i="62"/>
  <c r="Y390" i="62"/>
  <c r="X390" i="62"/>
  <c r="V390" i="62"/>
  <c r="U390" i="62"/>
  <c r="AK389" i="62"/>
  <c r="AJ389" i="62"/>
  <c r="Y389" i="62"/>
  <c r="X389" i="62"/>
  <c r="V389" i="62"/>
  <c r="U389" i="62"/>
  <c r="AK388" i="62"/>
  <c r="AJ388" i="62"/>
  <c r="Y388" i="62"/>
  <c r="X388" i="62"/>
  <c r="V388" i="62"/>
  <c r="U388" i="62"/>
  <c r="AK387" i="62"/>
  <c r="AJ387" i="62"/>
  <c r="Y387" i="62"/>
  <c r="X387" i="62"/>
  <c r="V387" i="62"/>
  <c r="U387" i="62"/>
  <c r="AK386" i="62"/>
  <c r="AJ386" i="62"/>
  <c r="Y386" i="62"/>
  <c r="X386" i="62"/>
  <c r="V386" i="62"/>
  <c r="U386" i="62"/>
  <c r="AK385" i="62"/>
  <c r="AJ385" i="62"/>
  <c r="Y385" i="62"/>
  <c r="X385" i="62"/>
  <c r="V385" i="62"/>
  <c r="U385" i="62"/>
  <c r="AK384" i="62"/>
  <c r="AJ384" i="62"/>
  <c r="Y384" i="62"/>
  <c r="X384" i="62"/>
  <c r="V384" i="62"/>
  <c r="U384" i="62"/>
  <c r="W383" i="62"/>
  <c r="AK382" i="62"/>
  <c r="AJ382" i="62"/>
  <c r="Y382" i="62"/>
  <c r="X382" i="62"/>
  <c r="V382" i="62"/>
  <c r="U382" i="62"/>
  <c r="AK381" i="62"/>
  <c r="AJ381" i="62"/>
  <c r="AK380" i="62"/>
  <c r="AJ380" i="62"/>
  <c r="AK379" i="62"/>
  <c r="AJ379" i="62"/>
  <c r="Y379" i="62"/>
  <c r="X379" i="62"/>
  <c r="V379" i="62"/>
  <c r="U379" i="62"/>
  <c r="AK378" i="62"/>
  <c r="AJ378" i="62"/>
  <c r="Y378" i="62"/>
  <c r="X378" i="62"/>
  <c r="V378" i="62"/>
  <c r="U378" i="62"/>
  <c r="AK377" i="62"/>
  <c r="AJ377" i="62"/>
  <c r="Y377" i="62"/>
  <c r="X377" i="62"/>
  <c r="V377" i="62"/>
  <c r="U377" i="62"/>
  <c r="AK376" i="62"/>
  <c r="AJ376" i="62"/>
  <c r="Y376" i="62"/>
  <c r="X376" i="62"/>
  <c r="V376" i="62"/>
  <c r="U376" i="62"/>
  <c r="AK375" i="62"/>
  <c r="AJ375" i="62"/>
  <c r="Y375" i="62"/>
  <c r="X375" i="62"/>
  <c r="V375" i="62"/>
  <c r="U375" i="62"/>
  <c r="AK374" i="62"/>
  <c r="AJ374" i="62"/>
  <c r="Y374" i="62"/>
  <c r="X374" i="62"/>
  <c r="V374" i="62"/>
  <c r="U374" i="62"/>
  <c r="AK373" i="62"/>
  <c r="AJ373" i="62"/>
  <c r="Y373" i="62"/>
  <c r="X373" i="62"/>
  <c r="V373" i="62"/>
  <c r="U373" i="62"/>
  <c r="AK372" i="62"/>
  <c r="AJ372" i="62"/>
  <c r="Y372" i="62"/>
  <c r="X372" i="62"/>
  <c r="V372" i="62"/>
  <c r="U372" i="62"/>
  <c r="AK371" i="62"/>
  <c r="AJ371" i="62"/>
  <c r="Y371" i="62"/>
  <c r="X371" i="62"/>
  <c r="V371" i="62"/>
  <c r="U371" i="62"/>
  <c r="AK370" i="62"/>
  <c r="AJ370" i="62"/>
  <c r="Y370" i="62"/>
  <c r="X370" i="62"/>
  <c r="V370" i="62"/>
  <c r="U370" i="62"/>
  <c r="AK369" i="62"/>
  <c r="AJ369" i="62"/>
  <c r="Y369" i="62"/>
  <c r="X369" i="62"/>
  <c r="V369" i="62"/>
  <c r="U369" i="62"/>
  <c r="AK368" i="62"/>
  <c r="AJ368" i="62"/>
  <c r="Y368" i="62"/>
  <c r="X368" i="62"/>
  <c r="V368" i="62"/>
  <c r="U368" i="62"/>
  <c r="AK367" i="62"/>
  <c r="AJ367" i="62"/>
  <c r="Y367" i="62"/>
  <c r="X367" i="62"/>
  <c r="V367" i="62"/>
  <c r="U367" i="62"/>
  <c r="AK366" i="62"/>
  <c r="AJ366" i="62"/>
  <c r="Y366" i="62"/>
  <c r="X366" i="62"/>
  <c r="V366" i="62"/>
  <c r="U366" i="62"/>
  <c r="AK365" i="62"/>
  <c r="AJ365" i="62"/>
  <c r="Y365" i="62"/>
  <c r="X365" i="62"/>
  <c r="V365" i="62"/>
  <c r="U365" i="62"/>
  <c r="AK364" i="62"/>
  <c r="AJ364" i="62"/>
  <c r="Y364" i="62"/>
  <c r="X364" i="62"/>
  <c r="X383" i="62" s="1"/>
  <c r="V364" i="62"/>
  <c r="U364" i="62"/>
  <c r="AK363" i="62"/>
  <c r="AJ363" i="62"/>
  <c r="Y363" i="62"/>
  <c r="X363" i="62"/>
  <c r="V363" i="62"/>
  <c r="U363" i="62"/>
  <c r="W362" i="62"/>
  <c r="AK361" i="62"/>
  <c r="AJ361" i="62"/>
  <c r="Y361" i="62"/>
  <c r="X361" i="62"/>
  <c r="V361" i="62"/>
  <c r="U361" i="62"/>
  <c r="AK360" i="62"/>
  <c r="AJ360" i="62"/>
  <c r="AK359" i="62"/>
  <c r="AJ359" i="62"/>
  <c r="AK358" i="62"/>
  <c r="AJ358" i="62"/>
  <c r="Y358" i="62"/>
  <c r="X358" i="62"/>
  <c r="V358" i="62"/>
  <c r="U358" i="62"/>
  <c r="AK357" i="62"/>
  <c r="AJ357" i="62"/>
  <c r="Y357" i="62"/>
  <c r="X357" i="62"/>
  <c r="V357" i="62"/>
  <c r="U357" i="62"/>
  <c r="AK356" i="62"/>
  <c r="AJ356" i="62"/>
  <c r="Y356" i="62"/>
  <c r="X356" i="62"/>
  <c r="V356" i="62"/>
  <c r="U356" i="62"/>
  <c r="AK355" i="62"/>
  <c r="AJ355" i="62"/>
  <c r="Y355" i="62"/>
  <c r="X355" i="62"/>
  <c r="V355" i="62"/>
  <c r="U355" i="62"/>
  <c r="AK354" i="62"/>
  <c r="AJ354" i="62"/>
  <c r="Y354" i="62"/>
  <c r="X354" i="62"/>
  <c r="V354" i="62"/>
  <c r="U354" i="62"/>
  <c r="AK353" i="62"/>
  <c r="AJ353" i="62"/>
  <c r="Y353" i="62"/>
  <c r="X353" i="62"/>
  <c r="V353" i="62"/>
  <c r="U353" i="62"/>
  <c r="AK352" i="62"/>
  <c r="AJ352" i="62"/>
  <c r="Y352" i="62"/>
  <c r="X352" i="62"/>
  <c r="V352" i="62"/>
  <c r="U352" i="62"/>
  <c r="AK351" i="62"/>
  <c r="AJ351" i="62"/>
  <c r="Y351" i="62"/>
  <c r="X351" i="62"/>
  <c r="V351" i="62"/>
  <c r="U351" i="62"/>
  <c r="AK350" i="62"/>
  <c r="AJ350" i="62"/>
  <c r="Y350" i="62"/>
  <c r="X350" i="62"/>
  <c r="V350" i="62"/>
  <c r="U350" i="62"/>
  <c r="AK349" i="62"/>
  <c r="AJ349" i="62"/>
  <c r="Y349" i="62"/>
  <c r="X349" i="62"/>
  <c r="V349" i="62"/>
  <c r="U349" i="62"/>
  <c r="AK348" i="62"/>
  <c r="AJ348" i="62"/>
  <c r="Y348" i="62"/>
  <c r="X348" i="62"/>
  <c r="V348" i="62"/>
  <c r="U348" i="62"/>
  <c r="AK347" i="62"/>
  <c r="AJ347" i="62"/>
  <c r="Y347" i="62"/>
  <c r="X347" i="62"/>
  <c r="V347" i="62"/>
  <c r="U347" i="62"/>
  <c r="AK346" i="62"/>
  <c r="AJ346" i="62"/>
  <c r="Y346" i="62"/>
  <c r="X346" i="62"/>
  <c r="V346" i="62"/>
  <c r="U346" i="62"/>
  <c r="AK345" i="62"/>
  <c r="AJ345" i="62"/>
  <c r="Y345" i="62"/>
  <c r="X345" i="62"/>
  <c r="V345" i="62"/>
  <c r="U345" i="62"/>
  <c r="AK344" i="62"/>
  <c r="AJ344" i="62"/>
  <c r="Y344" i="62"/>
  <c r="X344" i="62"/>
  <c r="V344" i="62"/>
  <c r="U344" i="62"/>
  <c r="AK343" i="62"/>
  <c r="AJ343" i="62"/>
  <c r="Y343" i="62"/>
  <c r="X343" i="62"/>
  <c r="V343" i="62"/>
  <c r="U343" i="62"/>
  <c r="AK342" i="62"/>
  <c r="AJ342" i="62"/>
  <c r="Y342" i="62"/>
  <c r="X342" i="62"/>
  <c r="V342" i="62"/>
  <c r="V362" i="62" s="1"/>
  <c r="U342" i="62"/>
  <c r="W341" i="62"/>
  <c r="AK340" i="62"/>
  <c r="AJ340" i="62"/>
  <c r="Y340" i="62"/>
  <c r="X340" i="62"/>
  <c r="V340" i="62"/>
  <c r="U340" i="62"/>
  <c r="AK339" i="62"/>
  <c r="AJ339" i="62"/>
  <c r="AK338" i="62"/>
  <c r="AJ338" i="62"/>
  <c r="AK337" i="62"/>
  <c r="AJ337" i="62"/>
  <c r="Y337" i="62"/>
  <c r="X337" i="62"/>
  <c r="V337" i="62"/>
  <c r="U337" i="62"/>
  <c r="AK336" i="62"/>
  <c r="AJ336" i="62"/>
  <c r="Y336" i="62"/>
  <c r="X336" i="62"/>
  <c r="V336" i="62"/>
  <c r="U336" i="62"/>
  <c r="AK335" i="62"/>
  <c r="AJ335" i="62"/>
  <c r="Y335" i="62"/>
  <c r="X335" i="62"/>
  <c r="V335" i="62"/>
  <c r="U335" i="62"/>
  <c r="AK334" i="62"/>
  <c r="AJ334" i="62"/>
  <c r="Y334" i="62"/>
  <c r="X334" i="62"/>
  <c r="V334" i="62"/>
  <c r="U334" i="62"/>
  <c r="AK333" i="62"/>
  <c r="AJ333" i="62"/>
  <c r="Y333" i="62"/>
  <c r="X333" i="62"/>
  <c r="V333" i="62"/>
  <c r="U333" i="62"/>
  <c r="AK332" i="62"/>
  <c r="AJ332" i="62"/>
  <c r="Y332" i="62"/>
  <c r="X332" i="62"/>
  <c r="V332" i="62"/>
  <c r="U332" i="62"/>
  <c r="AK331" i="62"/>
  <c r="AJ331" i="62"/>
  <c r="Y331" i="62"/>
  <c r="X331" i="62"/>
  <c r="V331" i="62"/>
  <c r="U331" i="62"/>
  <c r="AK330" i="62"/>
  <c r="AJ330" i="62"/>
  <c r="Y330" i="62"/>
  <c r="X330" i="62"/>
  <c r="V330" i="62"/>
  <c r="U330" i="62"/>
  <c r="AK329" i="62"/>
  <c r="AJ329" i="62"/>
  <c r="Y329" i="62"/>
  <c r="X329" i="62"/>
  <c r="V329" i="62"/>
  <c r="U329" i="62"/>
  <c r="AK328" i="62"/>
  <c r="AJ328" i="62"/>
  <c r="Y328" i="62"/>
  <c r="X328" i="62"/>
  <c r="V328" i="62"/>
  <c r="U328" i="62"/>
  <c r="AK327" i="62"/>
  <c r="AJ327" i="62"/>
  <c r="Y327" i="62"/>
  <c r="X327" i="62"/>
  <c r="V327" i="62"/>
  <c r="U327" i="62"/>
  <c r="AK326" i="62"/>
  <c r="AJ326" i="62"/>
  <c r="Y326" i="62"/>
  <c r="X326" i="62"/>
  <c r="V326" i="62"/>
  <c r="U326" i="62"/>
  <c r="AK325" i="62"/>
  <c r="AJ325" i="62"/>
  <c r="Y325" i="62"/>
  <c r="X325" i="62"/>
  <c r="V325" i="62"/>
  <c r="U325" i="62"/>
  <c r="AK324" i="62"/>
  <c r="AJ324" i="62"/>
  <c r="Y324" i="62"/>
  <c r="X324" i="62"/>
  <c r="V324" i="62"/>
  <c r="U324" i="62"/>
  <c r="AK323" i="62"/>
  <c r="AJ323" i="62"/>
  <c r="Y323" i="62"/>
  <c r="X323" i="62"/>
  <c r="V323" i="62"/>
  <c r="U323" i="62"/>
  <c r="AK322" i="62"/>
  <c r="AJ322" i="62"/>
  <c r="Y322" i="62"/>
  <c r="X322" i="62"/>
  <c r="V322" i="62"/>
  <c r="U322" i="62"/>
  <c r="AK321" i="62"/>
  <c r="AJ321" i="62"/>
  <c r="Y321" i="62"/>
  <c r="X321" i="62"/>
  <c r="V321" i="62"/>
  <c r="U321" i="62"/>
  <c r="W320" i="62"/>
  <c r="K320" i="62"/>
  <c r="F320" i="62"/>
  <c r="K424" i="62"/>
  <c r="F424" i="62"/>
  <c r="K404" i="62"/>
  <c r="F404" i="62"/>
  <c r="K383" i="62"/>
  <c r="F383" i="62"/>
  <c r="K362" i="62"/>
  <c r="F362" i="62"/>
  <c r="K341" i="62"/>
  <c r="F341" i="62"/>
  <c r="AK319" i="62"/>
  <c r="AJ319" i="62"/>
  <c r="Y319" i="62"/>
  <c r="X319" i="62"/>
  <c r="V319" i="62"/>
  <c r="U319" i="62"/>
  <c r="AK318" i="62"/>
  <c r="AJ318" i="62"/>
  <c r="AK317" i="62"/>
  <c r="AJ317" i="62"/>
  <c r="AK316" i="62"/>
  <c r="AJ316" i="62"/>
  <c r="Y316" i="62"/>
  <c r="X316" i="62"/>
  <c r="V316" i="62"/>
  <c r="U316" i="62"/>
  <c r="AK315" i="62"/>
  <c r="AJ315" i="62"/>
  <c r="Y315" i="62"/>
  <c r="X315" i="62"/>
  <c r="V315" i="62"/>
  <c r="U315" i="62"/>
  <c r="AK314" i="62"/>
  <c r="AJ314" i="62"/>
  <c r="Y314" i="62"/>
  <c r="X314" i="62"/>
  <c r="V314" i="62"/>
  <c r="U314" i="62"/>
  <c r="AK313" i="62"/>
  <c r="AJ313" i="62"/>
  <c r="Y313" i="62"/>
  <c r="X313" i="62"/>
  <c r="V313" i="62"/>
  <c r="U313" i="62"/>
  <c r="AK312" i="62"/>
  <c r="AJ312" i="62"/>
  <c r="Y312" i="62"/>
  <c r="X312" i="62"/>
  <c r="V312" i="62"/>
  <c r="U312" i="62"/>
  <c r="AK311" i="62"/>
  <c r="AJ311" i="62"/>
  <c r="Y311" i="62"/>
  <c r="X311" i="62"/>
  <c r="V311" i="62"/>
  <c r="U311" i="62"/>
  <c r="AK310" i="62"/>
  <c r="AJ310" i="62"/>
  <c r="Y310" i="62"/>
  <c r="X310" i="62"/>
  <c r="V310" i="62"/>
  <c r="U310" i="62"/>
  <c r="AK309" i="62"/>
  <c r="AJ309" i="62"/>
  <c r="Y309" i="62"/>
  <c r="X309" i="62"/>
  <c r="V309" i="62"/>
  <c r="U309" i="62"/>
  <c r="AK308" i="62"/>
  <c r="AJ308" i="62"/>
  <c r="Y308" i="62"/>
  <c r="X308" i="62"/>
  <c r="V308" i="62"/>
  <c r="U308" i="62"/>
  <c r="AK307" i="62"/>
  <c r="AJ307" i="62"/>
  <c r="Y307" i="62"/>
  <c r="X307" i="62"/>
  <c r="V307" i="62"/>
  <c r="U307" i="62"/>
  <c r="AK306" i="62"/>
  <c r="AJ306" i="62"/>
  <c r="Y306" i="62"/>
  <c r="X306" i="62"/>
  <c r="V306" i="62"/>
  <c r="U306" i="62"/>
  <c r="AK305" i="62"/>
  <c r="AJ305" i="62"/>
  <c r="Y305" i="62"/>
  <c r="X305" i="62"/>
  <c r="V305" i="62"/>
  <c r="U305" i="62"/>
  <c r="AK304" i="62"/>
  <c r="AJ304" i="62"/>
  <c r="Y304" i="62"/>
  <c r="X304" i="62"/>
  <c r="V304" i="62"/>
  <c r="U304" i="62"/>
  <c r="AK303" i="62"/>
  <c r="AJ303" i="62"/>
  <c r="Y303" i="62"/>
  <c r="X303" i="62"/>
  <c r="V303" i="62"/>
  <c r="U303" i="62"/>
  <c r="AK302" i="62"/>
  <c r="AJ302" i="62"/>
  <c r="Y302" i="62"/>
  <c r="X302" i="62"/>
  <c r="V302" i="62"/>
  <c r="U302" i="62"/>
  <c r="AK301" i="62"/>
  <c r="AD312" i="62" s="1"/>
  <c r="AI312" i="62" s="1"/>
  <c r="AJ301" i="62"/>
  <c r="Y301" i="62"/>
  <c r="X301" i="62"/>
  <c r="V301" i="62"/>
  <c r="U301" i="62"/>
  <c r="AK300" i="62"/>
  <c r="AJ300" i="62"/>
  <c r="Y300" i="62"/>
  <c r="X300" i="62"/>
  <c r="V300" i="62"/>
  <c r="U300" i="62"/>
  <c r="K299" i="62"/>
  <c r="K278" i="62"/>
  <c r="F299" i="62"/>
  <c r="K257" i="62"/>
  <c r="AK362" i="68"/>
  <c r="W362" i="68"/>
  <c r="K362" i="68"/>
  <c r="F362" i="68"/>
  <c r="AK341" i="68"/>
  <c r="W341" i="68"/>
  <c r="K341" i="68"/>
  <c r="F341" i="68"/>
  <c r="U340" i="68"/>
  <c r="V340" i="68"/>
  <c r="X340" i="68"/>
  <c r="Y340" i="68"/>
  <c r="AJ340" i="68"/>
  <c r="AK340" i="68"/>
  <c r="AK320" i="68"/>
  <c r="W320" i="68"/>
  <c r="K320" i="68"/>
  <c r="F320" i="68"/>
  <c r="AK361" i="68"/>
  <c r="AJ361" i="68"/>
  <c r="Y361" i="68"/>
  <c r="Y362" i="68" s="1"/>
  <c r="X361" i="68"/>
  <c r="V361" i="68"/>
  <c r="U361" i="68"/>
  <c r="AK360" i="68"/>
  <c r="AJ360" i="68"/>
  <c r="AK359" i="68"/>
  <c r="AJ359" i="68"/>
  <c r="AK358" i="68"/>
  <c r="AJ358" i="68"/>
  <c r="Y358" i="68"/>
  <c r="X358" i="68"/>
  <c r="V358" i="68"/>
  <c r="U358" i="68"/>
  <c r="AK357" i="68"/>
  <c r="AJ357" i="68"/>
  <c r="Y357" i="68"/>
  <c r="X357" i="68"/>
  <c r="V357" i="68"/>
  <c r="U357" i="68"/>
  <c r="AK356" i="68"/>
  <c r="AJ356" i="68"/>
  <c r="Y356" i="68"/>
  <c r="X356" i="68"/>
  <c r="V356" i="68"/>
  <c r="AF356" i="68" s="1"/>
  <c r="U356" i="68"/>
  <c r="AK355" i="68"/>
  <c r="AJ355" i="68"/>
  <c r="Y355" i="68"/>
  <c r="X355" i="68"/>
  <c r="V355" i="68"/>
  <c r="U355" i="68"/>
  <c r="AK354" i="68"/>
  <c r="AJ354" i="68"/>
  <c r="Y354" i="68"/>
  <c r="X354" i="68"/>
  <c r="V354" i="68"/>
  <c r="U354" i="68"/>
  <c r="AK353" i="68"/>
  <c r="AJ353" i="68"/>
  <c r="Y353" i="68"/>
  <c r="X353" i="68"/>
  <c r="V353" i="68"/>
  <c r="U353" i="68"/>
  <c r="AK352" i="68"/>
  <c r="AJ352" i="68"/>
  <c r="Y352" i="68"/>
  <c r="X352" i="68"/>
  <c r="V352" i="68"/>
  <c r="U352" i="68"/>
  <c r="AK351" i="68"/>
  <c r="AJ351" i="68"/>
  <c r="Y351" i="68"/>
  <c r="X351" i="68"/>
  <c r="V351" i="68"/>
  <c r="U351" i="68"/>
  <c r="AK350" i="68"/>
  <c r="AJ350" i="68"/>
  <c r="Y350" i="68"/>
  <c r="X350" i="68"/>
  <c r="V350" i="68"/>
  <c r="U350" i="68"/>
  <c r="AK349" i="68"/>
  <c r="AJ349" i="68"/>
  <c r="Y349" i="68"/>
  <c r="X349" i="68"/>
  <c r="V349" i="68"/>
  <c r="U349" i="68"/>
  <c r="AK348" i="68"/>
  <c r="AJ348" i="68"/>
  <c r="Y348" i="68"/>
  <c r="X348" i="68"/>
  <c r="V348" i="68"/>
  <c r="U348" i="68"/>
  <c r="AK347" i="68"/>
  <c r="AJ347" i="68"/>
  <c r="Y347" i="68"/>
  <c r="X347" i="68"/>
  <c r="V347" i="68"/>
  <c r="U347" i="68"/>
  <c r="AK346" i="68"/>
  <c r="AJ346" i="68"/>
  <c r="Y346" i="68"/>
  <c r="X346" i="68"/>
  <c r="V346" i="68"/>
  <c r="U346" i="68"/>
  <c r="AK345" i="68"/>
  <c r="AJ345" i="68"/>
  <c r="Y345" i="68"/>
  <c r="X345" i="68"/>
  <c r="V345" i="68"/>
  <c r="U345" i="68"/>
  <c r="AK344" i="68"/>
  <c r="AJ344" i="68"/>
  <c r="Y344" i="68"/>
  <c r="X344" i="68"/>
  <c r="V344" i="68"/>
  <c r="U344" i="68"/>
  <c r="AK343" i="68"/>
  <c r="AJ343" i="68"/>
  <c r="Y343" i="68"/>
  <c r="X343" i="68"/>
  <c r="V343" i="68"/>
  <c r="U343" i="68"/>
  <c r="AK342" i="68"/>
  <c r="AJ342" i="68"/>
  <c r="Y342" i="68"/>
  <c r="X342" i="68"/>
  <c r="V342" i="68"/>
  <c r="U342" i="68"/>
  <c r="AK236" i="62"/>
  <c r="W236" i="62"/>
  <c r="K236" i="62"/>
  <c r="F236" i="62"/>
  <c r="F173" i="62"/>
  <c r="K173" i="62"/>
  <c r="AK7" i="68"/>
  <c r="AK8" i="68"/>
  <c r="AK9" i="68"/>
  <c r="AK10" i="68"/>
  <c r="AK11" i="68"/>
  <c r="AK12" i="68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260" i="68"/>
  <c r="AK261" i="68"/>
  <c r="AK262" i="68"/>
  <c r="AK263" i="68"/>
  <c r="AK264" i="68"/>
  <c r="AK265" i="68"/>
  <c r="AK266" i="68"/>
  <c r="AK267" i="68"/>
  <c r="AK268" i="68"/>
  <c r="AK269" i="68"/>
  <c r="AK270" i="68"/>
  <c r="AK271" i="68"/>
  <c r="AK272" i="68"/>
  <c r="AK273" i="68"/>
  <c r="AK274" i="68"/>
  <c r="AK275" i="68"/>
  <c r="AK276" i="68"/>
  <c r="AK277" i="68"/>
  <c r="AK278" i="68"/>
  <c r="AK279" i="68"/>
  <c r="AK280" i="68"/>
  <c r="AK281" i="68"/>
  <c r="AK282" i="68"/>
  <c r="AK283" i="68"/>
  <c r="AK284" i="68"/>
  <c r="AK285" i="68"/>
  <c r="AK286" i="68"/>
  <c r="AK287" i="68"/>
  <c r="AK288" i="68"/>
  <c r="AK289" i="68"/>
  <c r="AK290" i="68"/>
  <c r="AK291" i="68"/>
  <c r="AK292" i="68"/>
  <c r="AK293" i="68"/>
  <c r="AK294" i="68"/>
  <c r="AK295" i="68"/>
  <c r="AK296" i="68"/>
  <c r="AK297" i="68"/>
  <c r="AK298" i="68"/>
  <c r="AK299" i="68"/>
  <c r="AK300" i="68"/>
  <c r="AK301" i="68"/>
  <c r="AK302" i="68"/>
  <c r="AK303" i="68"/>
  <c r="AK304" i="68"/>
  <c r="AK305" i="68"/>
  <c r="AK306" i="68"/>
  <c r="AK307" i="68"/>
  <c r="AK308" i="68"/>
  <c r="AK309" i="68"/>
  <c r="AK310" i="68"/>
  <c r="AK311" i="68"/>
  <c r="AK312" i="68"/>
  <c r="AK313" i="68"/>
  <c r="AK314" i="68"/>
  <c r="AK315" i="68"/>
  <c r="AK316" i="68"/>
  <c r="AK317" i="68"/>
  <c r="AK318" i="68"/>
  <c r="AK319" i="68"/>
  <c r="AK321" i="68"/>
  <c r="AK322" i="68"/>
  <c r="AK323" i="68"/>
  <c r="AK324" i="68"/>
  <c r="AK325" i="68"/>
  <c r="AK326" i="68"/>
  <c r="AK327" i="68"/>
  <c r="AK328" i="68"/>
  <c r="AK329" i="68"/>
  <c r="AK330" i="68"/>
  <c r="AK331" i="68"/>
  <c r="AK332" i="68"/>
  <c r="AK333" i="68"/>
  <c r="AK334" i="68"/>
  <c r="AK335" i="68"/>
  <c r="AK336" i="68"/>
  <c r="AK337" i="68"/>
  <c r="AK338" i="68"/>
  <c r="AK339" i="68"/>
  <c r="AK6" i="68"/>
  <c r="AK7" i="62"/>
  <c r="AK8" i="62"/>
  <c r="AK10" i="62"/>
  <c r="AK12" i="62"/>
  <c r="AK13" i="62"/>
  <c r="AK14" i="62"/>
  <c r="AK15" i="62"/>
  <c r="AK16" i="62"/>
  <c r="AK17" i="62"/>
  <c r="AK18" i="62"/>
  <c r="AK19" i="62"/>
  <c r="AK20" i="62"/>
  <c r="AK21" i="62"/>
  <c r="AK22" i="62"/>
  <c r="AK23" i="62"/>
  <c r="AK24" i="62"/>
  <c r="AK25" i="62"/>
  <c r="AK26" i="62"/>
  <c r="AK27" i="62"/>
  <c r="AK28" i="62"/>
  <c r="AK29" i="62"/>
  <c r="AK30" i="62"/>
  <c r="AK31" i="62"/>
  <c r="AK32" i="62"/>
  <c r="AK33" i="62"/>
  <c r="AK34" i="62"/>
  <c r="AK35" i="62"/>
  <c r="AK36" i="62"/>
  <c r="AK37" i="62"/>
  <c r="AK38" i="62"/>
  <c r="AK39" i="62"/>
  <c r="AK40" i="62"/>
  <c r="AK41" i="62"/>
  <c r="AK44" i="62"/>
  <c r="AK45" i="62"/>
  <c r="AK46" i="62"/>
  <c r="AK47" i="62"/>
  <c r="AK48" i="62"/>
  <c r="AK49" i="62"/>
  <c r="AK50" i="62"/>
  <c r="AK51" i="62"/>
  <c r="AK52" i="62"/>
  <c r="AK53" i="62"/>
  <c r="AK54" i="62"/>
  <c r="AK55" i="62"/>
  <c r="AK56" i="62"/>
  <c r="AK57" i="62"/>
  <c r="AK58" i="62"/>
  <c r="AK59" i="62"/>
  <c r="AK60" i="62"/>
  <c r="AK61" i="62"/>
  <c r="AK62" i="62"/>
  <c r="AK63" i="62"/>
  <c r="AK64" i="62"/>
  <c r="AK65" i="62"/>
  <c r="AK66" i="62"/>
  <c r="AK67" i="62"/>
  <c r="AK68" i="62"/>
  <c r="AK69" i="62"/>
  <c r="AK70" i="62"/>
  <c r="AK71" i="62"/>
  <c r="AK72" i="62"/>
  <c r="AK73" i="62"/>
  <c r="AK74" i="62"/>
  <c r="AK75" i="62"/>
  <c r="AK76" i="62"/>
  <c r="AK77" i="62"/>
  <c r="AK78" i="62"/>
  <c r="AK79" i="62"/>
  <c r="AK80" i="62"/>
  <c r="AK81" i="62"/>
  <c r="AK82" i="62"/>
  <c r="AK83" i="62"/>
  <c r="AK84" i="62"/>
  <c r="AK85" i="62"/>
  <c r="AK86" i="62"/>
  <c r="AK87" i="62"/>
  <c r="AK88" i="62"/>
  <c r="AK89" i="62"/>
  <c r="AK90" i="62"/>
  <c r="AK91" i="62"/>
  <c r="AK92" i="62"/>
  <c r="AK93" i="62"/>
  <c r="AK94" i="62"/>
  <c r="AK95" i="62"/>
  <c r="AK96" i="62"/>
  <c r="AK97" i="62"/>
  <c r="AK98" i="62"/>
  <c r="AK99" i="62"/>
  <c r="AK100" i="62"/>
  <c r="AK101" i="62"/>
  <c r="AK102" i="62"/>
  <c r="AK103" i="62"/>
  <c r="AK104" i="62"/>
  <c r="AK105" i="62"/>
  <c r="AK106" i="62"/>
  <c r="AK107" i="62"/>
  <c r="AK108" i="62"/>
  <c r="AK109" i="62"/>
  <c r="AK110" i="62"/>
  <c r="AK111" i="62"/>
  <c r="AK112" i="62"/>
  <c r="AK113" i="62"/>
  <c r="AK114" i="62"/>
  <c r="AK115" i="62"/>
  <c r="AK116" i="62"/>
  <c r="AK117" i="62"/>
  <c r="AK118" i="62"/>
  <c r="AK119" i="62"/>
  <c r="AK120" i="62"/>
  <c r="AK121" i="62"/>
  <c r="AK122" i="62"/>
  <c r="AK123" i="62"/>
  <c r="AK124" i="62"/>
  <c r="AK125" i="62"/>
  <c r="AK126" i="62"/>
  <c r="AK127" i="62"/>
  <c r="AK128" i="62"/>
  <c r="AK129" i="62"/>
  <c r="AK130" i="62"/>
  <c r="AK131" i="62"/>
  <c r="AK132" i="62"/>
  <c r="AK133" i="62"/>
  <c r="AK134" i="62"/>
  <c r="AK135" i="62"/>
  <c r="AK136" i="62"/>
  <c r="AK137" i="62"/>
  <c r="AK138" i="62"/>
  <c r="AK139" i="62"/>
  <c r="AK140" i="62"/>
  <c r="AK141" i="62"/>
  <c r="AK142" i="62"/>
  <c r="AK143" i="62"/>
  <c r="AK144" i="62"/>
  <c r="AK145" i="62"/>
  <c r="AK146" i="62"/>
  <c r="AK147" i="62"/>
  <c r="AK148" i="62"/>
  <c r="AK149" i="62"/>
  <c r="AK150" i="62"/>
  <c r="AK151" i="62"/>
  <c r="AK152" i="62"/>
  <c r="AK153" i="62"/>
  <c r="AK154" i="62"/>
  <c r="AK155" i="62"/>
  <c r="AK156" i="62"/>
  <c r="AK157" i="62"/>
  <c r="AK158" i="62"/>
  <c r="AK159" i="62"/>
  <c r="AK160" i="62"/>
  <c r="AK161" i="62"/>
  <c r="AK162" i="62"/>
  <c r="AK163" i="62"/>
  <c r="AK164" i="62"/>
  <c r="AK165" i="62"/>
  <c r="AK166" i="62"/>
  <c r="AK167" i="62"/>
  <c r="AK168" i="62"/>
  <c r="AK169" i="62"/>
  <c r="AK170" i="62"/>
  <c r="AK171" i="62"/>
  <c r="AK172" i="62"/>
  <c r="AK173" i="62"/>
  <c r="AK174" i="62"/>
  <c r="AK175" i="62"/>
  <c r="AK176" i="62"/>
  <c r="AK177" i="62"/>
  <c r="AK178" i="62"/>
  <c r="AK179" i="62"/>
  <c r="AK180" i="62"/>
  <c r="AK181" i="62"/>
  <c r="AK182" i="62"/>
  <c r="AK183" i="62"/>
  <c r="AK184" i="62"/>
  <c r="AK185" i="62"/>
  <c r="AK186" i="62"/>
  <c r="AK187" i="62"/>
  <c r="AK188" i="62"/>
  <c r="AK189" i="62"/>
  <c r="AK190" i="62"/>
  <c r="AK191" i="62"/>
  <c r="AK192" i="62"/>
  <c r="AK193" i="62"/>
  <c r="AK194" i="62"/>
  <c r="AK195" i="62"/>
  <c r="AK196" i="62"/>
  <c r="AK197" i="62"/>
  <c r="AK198" i="62"/>
  <c r="AK199" i="62"/>
  <c r="AK200" i="62"/>
  <c r="AK201" i="62"/>
  <c r="AK202" i="62"/>
  <c r="AK203" i="62"/>
  <c r="AK204" i="62"/>
  <c r="AK205" i="62"/>
  <c r="AK206" i="62"/>
  <c r="AK207" i="62"/>
  <c r="AK208" i="62"/>
  <c r="AK209" i="62"/>
  <c r="AK210" i="62"/>
  <c r="AK211" i="62"/>
  <c r="AK212" i="62"/>
  <c r="AK213" i="62"/>
  <c r="AK214" i="62"/>
  <c r="AK215" i="62"/>
  <c r="AK6" i="62"/>
  <c r="Y334" i="68"/>
  <c r="X334" i="68"/>
  <c r="V334" i="68"/>
  <c r="U334" i="68"/>
  <c r="Y313" i="68"/>
  <c r="X313" i="68"/>
  <c r="V313" i="68"/>
  <c r="U313" i="68"/>
  <c r="Y292" i="68"/>
  <c r="X292" i="68"/>
  <c r="V292" i="68"/>
  <c r="U292" i="68"/>
  <c r="Y271" i="68"/>
  <c r="X271" i="68"/>
  <c r="V271" i="68"/>
  <c r="U271" i="68"/>
  <c r="Y250" i="68"/>
  <c r="X250" i="68"/>
  <c r="V250" i="68"/>
  <c r="U250" i="68"/>
  <c r="Y229" i="68"/>
  <c r="X229" i="68"/>
  <c r="V229" i="68"/>
  <c r="U229" i="68"/>
  <c r="Y208" i="68"/>
  <c r="X208" i="68"/>
  <c r="V208" i="68"/>
  <c r="U208" i="68"/>
  <c r="Y187" i="68"/>
  <c r="X187" i="68"/>
  <c r="V187" i="68"/>
  <c r="U187" i="68"/>
  <c r="Y166" i="68"/>
  <c r="X166" i="68"/>
  <c r="V166" i="68"/>
  <c r="U166" i="68"/>
  <c r="Y145" i="68"/>
  <c r="X145" i="68"/>
  <c r="V145" i="68"/>
  <c r="U145" i="68"/>
  <c r="Y124" i="68"/>
  <c r="X124" i="68"/>
  <c r="V124" i="68"/>
  <c r="U124" i="68"/>
  <c r="Y103" i="68"/>
  <c r="X103" i="68"/>
  <c r="V103" i="68"/>
  <c r="U103" i="68"/>
  <c r="Y82" i="68"/>
  <c r="X82" i="68"/>
  <c r="V82" i="68"/>
  <c r="U82" i="68"/>
  <c r="Y61" i="68"/>
  <c r="X61" i="68"/>
  <c r="V61" i="68"/>
  <c r="U61" i="68"/>
  <c r="Y40" i="68"/>
  <c r="X40" i="68"/>
  <c r="V40" i="68"/>
  <c r="U40" i="68"/>
  <c r="Y19" i="68"/>
  <c r="X19" i="68"/>
  <c r="V19" i="68"/>
  <c r="U19" i="68"/>
  <c r="Y336" i="68"/>
  <c r="X336" i="68"/>
  <c r="V336" i="68"/>
  <c r="U336" i="68"/>
  <c r="Y335" i="68"/>
  <c r="X335" i="68"/>
  <c r="V335" i="68"/>
  <c r="U335" i="68"/>
  <c r="Y315" i="68"/>
  <c r="X315" i="68"/>
  <c r="V315" i="68"/>
  <c r="U315" i="68"/>
  <c r="Y314" i="68"/>
  <c r="X314" i="68"/>
  <c r="V314" i="68"/>
  <c r="U314" i="68"/>
  <c r="Y294" i="68"/>
  <c r="X294" i="68"/>
  <c r="V294" i="68"/>
  <c r="U294" i="68"/>
  <c r="Y293" i="68"/>
  <c r="X293" i="68"/>
  <c r="V293" i="68"/>
  <c r="U293" i="68"/>
  <c r="Y273" i="68"/>
  <c r="X273" i="68"/>
  <c r="V273" i="68"/>
  <c r="U273" i="68"/>
  <c r="Y272" i="68"/>
  <c r="X272" i="68"/>
  <c r="V272" i="68"/>
  <c r="U272" i="68"/>
  <c r="Y252" i="68"/>
  <c r="X252" i="68"/>
  <c r="V252" i="68"/>
  <c r="U252" i="68"/>
  <c r="Y251" i="68"/>
  <c r="X251" i="68"/>
  <c r="V251" i="68"/>
  <c r="U251" i="68"/>
  <c r="Y231" i="68"/>
  <c r="X231" i="68"/>
  <c r="V231" i="68"/>
  <c r="U231" i="68"/>
  <c r="Y230" i="68"/>
  <c r="X230" i="68"/>
  <c r="V230" i="68"/>
  <c r="U230" i="68"/>
  <c r="Y210" i="68"/>
  <c r="X210" i="68"/>
  <c r="V210" i="68"/>
  <c r="U210" i="68"/>
  <c r="Y209" i="68"/>
  <c r="X209" i="68"/>
  <c r="V209" i="68"/>
  <c r="U209" i="68"/>
  <c r="Y189" i="68"/>
  <c r="X189" i="68"/>
  <c r="V189" i="68"/>
  <c r="U189" i="68"/>
  <c r="Y188" i="68"/>
  <c r="X188" i="68"/>
  <c r="V188" i="68"/>
  <c r="U188" i="68"/>
  <c r="Y168" i="68"/>
  <c r="X168" i="68"/>
  <c r="V168" i="68"/>
  <c r="U168" i="68"/>
  <c r="Y167" i="68"/>
  <c r="X167" i="68"/>
  <c r="V167" i="68"/>
  <c r="U167" i="68"/>
  <c r="Y147" i="68"/>
  <c r="X147" i="68"/>
  <c r="V147" i="68"/>
  <c r="U147" i="68"/>
  <c r="Y146" i="68"/>
  <c r="X146" i="68"/>
  <c r="V146" i="68"/>
  <c r="U146" i="68"/>
  <c r="Y126" i="68"/>
  <c r="X126" i="68"/>
  <c r="V126" i="68"/>
  <c r="U126" i="68"/>
  <c r="Y125" i="68"/>
  <c r="X125" i="68"/>
  <c r="V125" i="68"/>
  <c r="U125" i="68"/>
  <c r="Y105" i="68"/>
  <c r="X105" i="68"/>
  <c r="V105" i="68"/>
  <c r="U105" i="68"/>
  <c r="Y104" i="68"/>
  <c r="X104" i="68"/>
  <c r="V104" i="68"/>
  <c r="U104" i="68"/>
  <c r="Y84" i="68"/>
  <c r="X84" i="68"/>
  <c r="V84" i="68"/>
  <c r="U84" i="68"/>
  <c r="Y83" i="68"/>
  <c r="X83" i="68"/>
  <c r="V83" i="68"/>
  <c r="U83" i="68"/>
  <c r="Y63" i="68"/>
  <c r="X63" i="68"/>
  <c r="V63" i="68"/>
  <c r="U63" i="68"/>
  <c r="Y62" i="68"/>
  <c r="X62" i="68"/>
  <c r="V62" i="68"/>
  <c r="U62" i="68"/>
  <c r="Y42" i="68"/>
  <c r="X42" i="68"/>
  <c r="V42" i="68"/>
  <c r="U42" i="68"/>
  <c r="Y41" i="68"/>
  <c r="X41" i="68"/>
  <c r="V41" i="68"/>
  <c r="U41" i="68"/>
  <c r="Y20" i="68"/>
  <c r="X20" i="68"/>
  <c r="V20" i="68"/>
  <c r="U20" i="68"/>
  <c r="Y21" i="68"/>
  <c r="X21" i="68"/>
  <c r="V21" i="68"/>
  <c r="U21" i="68"/>
  <c r="F131" i="68"/>
  <c r="AJ339" i="68"/>
  <c r="AJ338" i="68"/>
  <c r="AJ337" i="68"/>
  <c r="Y337" i="68"/>
  <c r="X337" i="68"/>
  <c r="V337" i="68"/>
  <c r="U337" i="68"/>
  <c r="AJ336" i="68"/>
  <c r="AJ335" i="68"/>
  <c r="AJ334" i="68"/>
  <c r="AJ333" i="68"/>
  <c r="Y333" i="68"/>
  <c r="X333" i="68"/>
  <c r="V333" i="68"/>
  <c r="U333" i="68"/>
  <c r="AJ332" i="68"/>
  <c r="Y332" i="68"/>
  <c r="X332" i="68"/>
  <c r="V332" i="68"/>
  <c r="U332" i="68"/>
  <c r="AJ331" i="68"/>
  <c r="Y331" i="68"/>
  <c r="X331" i="68"/>
  <c r="X341" i="68" s="1"/>
  <c r="V331" i="68"/>
  <c r="U331" i="68"/>
  <c r="AJ330" i="68"/>
  <c r="Y330" i="68"/>
  <c r="X330" i="68"/>
  <c r="V330" i="68"/>
  <c r="U330" i="68"/>
  <c r="AJ329" i="68"/>
  <c r="Y329" i="68"/>
  <c r="X329" i="68"/>
  <c r="V329" i="68"/>
  <c r="U329" i="68"/>
  <c r="U341" i="68" s="1"/>
  <c r="AJ328" i="68"/>
  <c r="Y328" i="68"/>
  <c r="X328" i="68"/>
  <c r="V328" i="68"/>
  <c r="U328" i="68"/>
  <c r="AJ327" i="68"/>
  <c r="Y327" i="68"/>
  <c r="X327" i="68"/>
  <c r="V327" i="68"/>
  <c r="U327" i="68"/>
  <c r="AJ326" i="68"/>
  <c r="Y326" i="68"/>
  <c r="X326" i="68"/>
  <c r="V326" i="68"/>
  <c r="U326" i="68"/>
  <c r="AJ325" i="68"/>
  <c r="Y325" i="68"/>
  <c r="X325" i="68"/>
  <c r="V325" i="68"/>
  <c r="U325" i="68"/>
  <c r="AJ324" i="68"/>
  <c r="Y324" i="68"/>
  <c r="X324" i="68"/>
  <c r="V324" i="68"/>
  <c r="V341" i="68" s="1"/>
  <c r="U324" i="68"/>
  <c r="AJ323" i="68"/>
  <c r="Y323" i="68"/>
  <c r="X323" i="68"/>
  <c r="V323" i="68"/>
  <c r="U323" i="68"/>
  <c r="AJ322" i="68"/>
  <c r="Y322" i="68"/>
  <c r="X322" i="68"/>
  <c r="V322" i="68"/>
  <c r="U322" i="68"/>
  <c r="AJ321" i="68"/>
  <c r="Z340" i="68" s="1"/>
  <c r="Y321" i="68"/>
  <c r="X321" i="68"/>
  <c r="V321" i="68"/>
  <c r="U321" i="68"/>
  <c r="W215" i="62"/>
  <c r="K215" i="62"/>
  <c r="F215" i="62"/>
  <c r="K299" i="68"/>
  <c r="F299" i="68"/>
  <c r="K278" i="68"/>
  <c r="F278" i="68"/>
  <c r="F215" i="68"/>
  <c r="K215" i="68"/>
  <c r="AJ319" i="68"/>
  <c r="Y319" i="68"/>
  <c r="X319" i="68"/>
  <c r="V319" i="68"/>
  <c r="U319" i="68"/>
  <c r="AJ318" i="68"/>
  <c r="AJ317" i="68"/>
  <c r="AJ316" i="68"/>
  <c r="Y316" i="68"/>
  <c r="X316" i="68"/>
  <c r="V316" i="68"/>
  <c r="U316" i="68"/>
  <c r="AJ315" i="68"/>
  <c r="AJ314" i="68"/>
  <c r="AJ313" i="68"/>
  <c r="AJ312" i="68"/>
  <c r="Y312" i="68"/>
  <c r="X312" i="68"/>
  <c r="V312" i="68"/>
  <c r="U312" i="68"/>
  <c r="AJ311" i="68"/>
  <c r="Y311" i="68"/>
  <c r="X311" i="68"/>
  <c r="X320" i="68" s="1"/>
  <c r="V311" i="68"/>
  <c r="U311" i="68"/>
  <c r="AJ310" i="68"/>
  <c r="Y310" i="68"/>
  <c r="X310" i="68"/>
  <c r="V310" i="68"/>
  <c r="U310" i="68"/>
  <c r="AJ309" i="68"/>
  <c r="Y309" i="68"/>
  <c r="X309" i="68"/>
  <c r="V309" i="68"/>
  <c r="U309" i="68"/>
  <c r="AJ308" i="68"/>
  <c r="Y308" i="68"/>
  <c r="X308" i="68"/>
  <c r="V308" i="68"/>
  <c r="U308" i="68"/>
  <c r="AJ307" i="68"/>
  <c r="Y307" i="68"/>
  <c r="X307" i="68"/>
  <c r="V307" i="68"/>
  <c r="U307" i="68"/>
  <c r="AJ306" i="68"/>
  <c r="Y306" i="68"/>
  <c r="Y320" i="68" s="1"/>
  <c r="X306" i="68"/>
  <c r="V306" i="68"/>
  <c r="U306" i="68"/>
  <c r="AJ305" i="68"/>
  <c r="Y305" i="68"/>
  <c r="X305" i="68"/>
  <c r="V305" i="68"/>
  <c r="U305" i="68"/>
  <c r="AJ304" i="68"/>
  <c r="Y304" i="68"/>
  <c r="X304" i="68"/>
  <c r="V304" i="68"/>
  <c r="U304" i="68"/>
  <c r="AJ303" i="68"/>
  <c r="Y303" i="68"/>
  <c r="X303" i="68"/>
  <c r="V303" i="68"/>
  <c r="U303" i="68"/>
  <c r="AJ302" i="68"/>
  <c r="Y302" i="68"/>
  <c r="X302" i="68"/>
  <c r="V302" i="68"/>
  <c r="U302" i="68"/>
  <c r="AJ301" i="68"/>
  <c r="Y301" i="68"/>
  <c r="X301" i="68"/>
  <c r="V301" i="68"/>
  <c r="U301" i="68"/>
  <c r="AJ300" i="68"/>
  <c r="Y300" i="68"/>
  <c r="X300" i="68"/>
  <c r="V300" i="68"/>
  <c r="U300" i="68"/>
  <c r="F152" i="68"/>
  <c r="K173" i="68"/>
  <c r="Y127" i="62"/>
  <c r="F19" i="40" s="1"/>
  <c r="M21" i="3" s="1"/>
  <c r="X127" i="62"/>
  <c r="V127" i="62"/>
  <c r="C19" i="40" s="1"/>
  <c r="K21" i="3" s="1"/>
  <c r="U127" i="62"/>
  <c r="B19" i="40" s="1"/>
  <c r="J21" i="3" s="1"/>
  <c r="K257" i="68"/>
  <c r="F257" i="68"/>
  <c r="K236" i="68"/>
  <c r="F236" i="68"/>
  <c r="K194" i="68"/>
  <c r="F194" i="68"/>
  <c r="F173" i="68"/>
  <c r="W89" i="68"/>
  <c r="AJ88" i="68"/>
  <c r="Y88" i="68"/>
  <c r="X88" i="68"/>
  <c r="V88" i="68"/>
  <c r="U88" i="68"/>
  <c r="AJ87" i="68"/>
  <c r="AJ86" i="68"/>
  <c r="AJ85" i="68"/>
  <c r="Y85" i="68"/>
  <c r="X85" i="68"/>
  <c r="V85" i="68"/>
  <c r="U85" i="68"/>
  <c r="AJ84" i="68"/>
  <c r="AJ83" i="68"/>
  <c r="AJ82" i="68"/>
  <c r="AJ81" i="68"/>
  <c r="Y81" i="68"/>
  <c r="X81" i="68"/>
  <c r="V81" i="68"/>
  <c r="U81" i="68"/>
  <c r="AJ80" i="68"/>
  <c r="Y80" i="68"/>
  <c r="X80" i="68"/>
  <c r="V80" i="68"/>
  <c r="U80" i="68"/>
  <c r="AJ79" i="68"/>
  <c r="Y79" i="68"/>
  <c r="X79" i="68"/>
  <c r="V79" i="68"/>
  <c r="U79" i="68"/>
  <c r="AJ78" i="68"/>
  <c r="Y78" i="68"/>
  <c r="X78" i="68"/>
  <c r="V78" i="68"/>
  <c r="U78" i="68"/>
  <c r="AJ77" i="68"/>
  <c r="Y77" i="68"/>
  <c r="X77" i="68"/>
  <c r="V77" i="68"/>
  <c r="U77" i="68"/>
  <c r="AJ76" i="68"/>
  <c r="Y76" i="68"/>
  <c r="X76" i="68"/>
  <c r="V76" i="68"/>
  <c r="U76" i="68"/>
  <c r="AJ75" i="68"/>
  <c r="Y75" i="68"/>
  <c r="X75" i="68"/>
  <c r="V75" i="68"/>
  <c r="U75" i="68"/>
  <c r="AJ74" i="68"/>
  <c r="Y74" i="68"/>
  <c r="X74" i="68"/>
  <c r="V74" i="68"/>
  <c r="U74" i="68"/>
  <c r="AJ73" i="68"/>
  <c r="Y73" i="68"/>
  <c r="X73" i="68"/>
  <c r="V73" i="68"/>
  <c r="U73" i="68"/>
  <c r="AJ72" i="68"/>
  <c r="Y72" i="68"/>
  <c r="X72" i="68"/>
  <c r="V72" i="68"/>
  <c r="U72" i="68"/>
  <c r="AJ71" i="68"/>
  <c r="Y71" i="68"/>
  <c r="X71" i="68"/>
  <c r="V71" i="68"/>
  <c r="U71" i="68"/>
  <c r="AJ70" i="68"/>
  <c r="Y70" i="68"/>
  <c r="X70" i="68"/>
  <c r="V70" i="68"/>
  <c r="U70" i="68"/>
  <c r="AJ69" i="68"/>
  <c r="Y69" i="68"/>
  <c r="X69" i="68"/>
  <c r="V69" i="68"/>
  <c r="U69" i="68"/>
  <c r="W68" i="68"/>
  <c r="AJ67" i="68"/>
  <c r="Y67" i="68"/>
  <c r="X67" i="68"/>
  <c r="V67" i="68"/>
  <c r="U67" i="68"/>
  <c r="AJ66" i="68"/>
  <c r="AJ65" i="68"/>
  <c r="AJ64" i="68"/>
  <c r="Y64" i="68"/>
  <c r="X64" i="68"/>
  <c r="V64" i="68"/>
  <c r="U64" i="68"/>
  <c r="AJ63" i="68"/>
  <c r="AJ62" i="68"/>
  <c r="AJ61" i="68"/>
  <c r="AJ60" i="68"/>
  <c r="Y60" i="68"/>
  <c r="X60" i="68"/>
  <c r="V60" i="68"/>
  <c r="U60" i="68"/>
  <c r="AJ59" i="68"/>
  <c r="Y59" i="68"/>
  <c r="X59" i="68"/>
  <c r="V59" i="68"/>
  <c r="U59" i="68"/>
  <c r="AJ58" i="68"/>
  <c r="Y58" i="68"/>
  <c r="X58" i="68"/>
  <c r="V58" i="68"/>
  <c r="U58" i="68"/>
  <c r="AJ57" i="68"/>
  <c r="Y57" i="68"/>
  <c r="X57" i="68"/>
  <c r="V57" i="68"/>
  <c r="U57" i="68"/>
  <c r="AJ56" i="68"/>
  <c r="Y56" i="68"/>
  <c r="X56" i="68"/>
  <c r="V56" i="68"/>
  <c r="U56" i="68"/>
  <c r="AJ55" i="68"/>
  <c r="Y55" i="68"/>
  <c r="X55" i="68"/>
  <c r="V55" i="68"/>
  <c r="U55" i="68"/>
  <c r="AJ54" i="68"/>
  <c r="Y54" i="68"/>
  <c r="X54" i="68"/>
  <c r="V54" i="68"/>
  <c r="U54" i="68"/>
  <c r="AJ53" i="68"/>
  <c r="Y53" i="68"/>
  <c r="X53" i="68"/>
  <c r="V53" i="68"/>
  <c r="U53" i="68"/>
  <c r="AJ52" i="68"/>
  <c r="Y52" i="68"/>
  <c r="X52" i="68"/>
  <c r="V52" i="68"/>
  <c r="U52" i="68"/>
  <c r="AJ51" i="68"/>
  <c r="Y51" i="68"/>
  <c r="X51" i="68"/>
  <c r="V51" i="68"/>
  <c r="U51" i="68"/>
  <c r="AJ50" i="68"/>
  <c r="Y50" i="68"/>
  <c r="X50" i="68"/>
  <c r="V50" i="68"/>
  <c r="U50" i="68"/>
  <c r="AJ49" i="68"/>
  <c r="Y49" i="68"/>
  <c r="X49" i="68"/>
  <c r="V49" i="68"/>
  <c r="U49" i="68"/>
  <c r="AJ48" i="68"/>
  <c r="Y48" i="68"/>
  <c r="X48" i="68"/>
  <c r="V48" i="68"/>
  <c r="U48" i="68"/>
  <c r="W47" i="68"/>
  <c r="AJ46" i="68"/>
  <c r="Y46" i="68"/>
  <c r="X46" i="68"/>
  <c r="V46" i="68"/>
  <c r="U46" i="68"/>
  <c r="AJ45" i="68"/>
  <c r="AJ44" i="68"/>
  <c r="AJ43" i="68"/>
  <c r="Y43" i="68"/>
  <c r="X43" i="68"/>
  <c r="V43" i="68"/>
  <c r="U43" i="68"/>
  <c r="AJ42" i="68"/>
  <c r="AJ41" i="68"/>
  <c r="AJ40" i="68"/>
  <c r="AJ39" i="68"/>
  <c r="Y39" i="68"/>
  <c r="X39" i="68"/>
  <c r="V39" i="68"/>
  <c r="U39" i="68"/>
  <c r="AJ38" i="68"/>
  <c r="Y38" i="68"/>
  <c r="X38" i="68"/>
  <c r="V38" i="68"/>
  <c r="U38" i="68"/>
  <c r="AJ37" i="68"/>
  <c r="Y37" i="68"/>
  <c r="X37" i="68"/>
  <c r="V37" i="68"/>
  <c r="U37" i="68"/>
  <c r="AJ36" i="68"/>
  <c r="Y36" i="68"/>
  <c r="X36" i="68"/>
  <c r="V36" i="68"/>
  <c r="U36" i="68"/>
  <c r="AJ35" i="68"/>
  <c r="Y35" i="68"/>
  <c r="X35" i="68"/>
  <c r="V35" i="68"/>
  <c r="U35" i="68"/>
  <c r="AJ34" i="68"/>
  <c r="Y34" i="68"/>
  <c r="X34" i="68"/>
  <c r="V34" i="68"/>
  <c r="U34" i="68"/>
  <c r="AJ33" i="68"/>
  <c r="Y33" i="68"/>
  <c r="X33" i="68"/>
  <c r="V33" i="68"/>
  <c r="U33" i="68"/>
  <c r="AJ32" i="68"/>
  <c r="Y32" i="68"/>
  <c r="X32" i="68"/>
  <c r="V32" i="68"/>
  <c r="U32" i="68"/>
  <c r="AJ31" i="68"/>
  <c r="Y31" i="68"/>
  <c r="X31" i="68"/>
  <c r="V31" i="68"/>
  <c r="U31" i="68"/>
  <c r="AJ30" i="68"/>
  <c r="Y30" i="68"/>
  <c r="X30" i="68"/>
  <c r="V30" i="68"/>
  <c r="U30" i="68"/>
  <c r="AJ29" i="68"/>
  <c r="Y29" i="68"/>
  <c r="X29" i="68"/>
  <c r="V29" i="68"/>
  <c r="U29" i="68"/>
  <c r="AJ28" i="68"/>
  <c r="Y28" i="68"/>
  <c r="X28" i="68"/>
  <c r="V28" i="68"/>
  <c r="U28" i="68"/>
  <c r="AJ27" i="68"/>
  <c r="Y27" i="68"/>
  <c r="X27" i="68"/>
  <c r="V27" i="68"/>
  <c r="U27" i="68"/>
  <c r="W26" i="68"/>
  <c r="AJ25" i="68"/>
  <c r="Y25" i="68"/>
  <c r="X25" i="68"/>
  <c r="V25" i="68"/>
  <c r="U25" i="68"/>
  <c r="AJ24" i="68"/>
  <c r="AJ23" i="68"/>
  <c r="AJ22" i="68"/>
  <c r="Y22" i="68"/>
  <c r="X22" i="68"/>
  <c r="V22" i="68"/>
  <c r="U22" i="68"/>
  <c r="AJ21" i="68"/>
  <c r="AJ20" i="68"/>
  <c r="AJ19" i="68"/>
  <c r="AJ18" i="68"/>
  <c r="Y18" i="68"/>
  <c r="X18" i="68"/>
  <c r="V18" i="68"/>
  <c r="U18" i="68"/>
  <c r="AJ17" i="68"/>
  <c r="Y17" i="68"/>
  <c r="X17" i="68"/>
  <c r="V17" i="68"/>
  <c r="U17" i="68"/>
  <c r="AJ16" i="68"/>
  <c r="Y16" i="68"/>
  <c r="X16" i="68"/>
  <c r="V16" i="68"/>
  <c r="U16" i="68"/>
  <c r="AJ15" i="68"/>
  <c r="Y15" i="68"/>
  <c r="X15" i="68"/>
  <c r="V15" i="68"/>
  <c r="U15" i="68"/>
  <c r="AJ14" i="68"/>
  <c r="Y14" i="68"/>
  <c r="X14" i="68"/>
  <c r="V14" i="68"/>
  <c r="U14" i="68"/>
  <c r="AJ13" i="68"/>
  <c r="Y13" i="68"/>
  <c r="X13" i="68"/>
  <c r="V13" i="68"/>
  <c r="U13" i="68"/>
  <c r="AJ12" i="68"/>
  <c r="Y12" i="68"/>
  <c r="X12" i="68"/>
  <c r="V12" i="68"/>
  <c r="U12" i="68"/>
  <c r="AJ11" i="68"/>
  <c r="Y11" i="68"/>
  <c r="X11" i="68"/>
  <c r="V11" i="68"/>
  <c r="U11" i="68"/>
  <c r="AJ10" i="68"/>
  <c r="Y10" i="68"/>
  <c r="X10" i="68"/>
  <c r="V10" i="68"/>
  <c r="U10" i="68"/>
  <c r="AJ9" i="68"/>
  <c r="Y9" i="68"/>
  <c r="X9" i="68"/>
  <c r="V9" i="68"/>
  <c r="U9" i="68"/>
  <c r="AJ8" i="68"/>
  <c r="Y8" i="68"/>
  <c r="X8" i="68"/>
  <c r="V8" i="68"/>
  <c r="U8" i="68"/>
  <c r="AJ7" i="68"/>
  <c r="Y7" i="68"/>
  <c r="X7" i="68"/>
  <c r="V7" i="68"/>
  <c r="U7" i="68"/>
  <c r="AJ6" i="68"/>
  <c r="Y6" i="68"/>
  <c r="X6" i="68"/>
  <c r="V6" i="68"/>
  <c r="U6" i="68"/>
  <c r="K89" i="68"/>
  <c r="F89" i="68"/>
  <c r="K68" i="68"/>
  <c r="F68" i="68"/>
  <c r="K47" i="68"/>
  <c r="F47" i="68"/>
  <c r="K26" i="68"/>
  <c r="F26" i="68"/>
  <c r="P138" i="40"/>
  <c r="P161" i="40"/>
  <c r="O138" i="40"/>
  <c r="O161" i="40"/>
  <c r="M138" i="40"/>
  <c r="M161" i="40"/>
  <c r="L138" i="40"/>
  <c r="L161" i="40"/>
  <c r="P135" i="40"/>
  <c r="P158" i="40"/>
  <c r="O135" i="40"/>
  <c r="O158" i="40"/>
  <c r="M135" i="40"/>
  <c r="M158" i="40"/>
  <c r="L135" i="40"/>
  <c r="L158" i="40"/>
  <c r="P134" i="40"/>
  <c r="P157" i="40"/>
  <c r="O134" i="40"/>
  <c r="O157" i="40"/>
  <c r="M134" i="40"/>
  <c r="M157" i="40"/>
  <c r="L134" i="40"/>
  <c r="L157" i="40"/>
  <c r="K138" i="40"/>
  <c r="J138" i="40"/>
  <c r="H138" i="40"/>
  <c r="G138" i="40"/>
  <c r="K135" i="40"/>
  <c r="K158" i="40"/>
  <c r="J135" i="40"/>
  <c r="J158" i="40"/>
  <c r="H135" i="40"/>
  <c r="H158" i="40"/>
  <c r="G135" i="40"/>
  <c r="G158" i="40"/>
  <c r="P92" i="40"/>
  <c r="P115" i="40"/>
  <c r="O92" i="40"/>
  <c r="O115" i="40"/>
  <c r="M92" i="40"/>
  <c r="M115" i="40"/>
  <c r="L92" i="40"/>
  <c r="L115" i="40"/>
  <c r="P88" i="40"/>
  <c r="P111" i="40"/>
  <c r="O88" i="40"/>
  <c r="O111" i="40"/>
  <c r="M88" i="40"/>
  <c r="M111" i="40"/>
  <c r="L88" i="40"/>
  <c r="L111" i="40"/>
  <c r="K92" i="40"/>
  <c r="J92" i="40"/>
  <c r="H92" i="40"/>
  <c r="G92" i="40"/>
  <c r="Y21" i="62"/>
  <c r="Y42" i="62"/>
  <c r="Y63" i="62"/>
  <c r="Y84" i="62"/>
  <c r="Y105" i="62"/>
  <c r="Y126" i="62"/>
  <c r="Y147" i="62"/>
  <c r="Y168" i="62"/>
  <c r="Y189" i="62"/>
  <c r="X21" i="62"/>
  <c r="AJ25" i="62"/>
  <c r="AJ24" i="62"/>
  <c r="AJ23" i="62"/>
  <c r="AJ22" i="62"/>
  <c r="AJ21" i="62"/>
  <c r="AJ20" i="62"/>
  <c r="AJ19" i="62"/>
  <c r="AJ18" i="62"/>
  <c r="AJ17" i="62"/>
  <c r="AJ16" i="62"/>
  <c r="AJ15" i="62"/>
  <c r="AJ14" i="62"/>
  <c r="AJ13" i="62"/>
  <c r="AJ12" i="62"/>
  <c r="AJ11" i="62"/>
  <c r="AJ10" i="62"/>
  <c r="AJ9" i="62"/>
  <c r="AJ8" i="62"/>
  <c r="AJ7" i="62"/>
  <c r="AJ6" i="62"/>
  <c r="X294" i="62"/>
  <c r="X42" i="62"/>
  <c r="AJ45" i="62"/>
  <c r="AJ44" i="62"/>
  <c r="AJ43" i="62"/>
  <c r="AJ42" i="62"/>
  <c r="AJ41" i="62"/>
  <c r="AJ40" i="62"/>
  <c r="AJ39" i="62"/>
  <c r="AJ38" i="62"/>
  <c r="AJ37" i="62"/>
  <c r="AJ36" i="62"/>
  <c r="AJ35" i="62"/>
  <c r="AJ34" i="62"/>
  <c r="AJ33" i="62"/>
  <c r="AJ32" i="62"/>
  <c r="AJ31" i="62"/>
  <c r="AJ30" i="62"/>
  <c r="AJ29" i="62"/>
  <c r="AJ28" i="62"/>
  <c r="AJ27" i="62"/>
  <c r="X63" i="62"/>
  <c r="AJ67" i="62"/>
  <c r="AJ66" i="62"/>
  <c r="AJ65" i="62"/>
  <c r="AJ64" i="62"/>
  <c r="AJ63" i="62"/>
  <c r="AJ62" i="62"/>
  <c r="AJ61" i="62"/>
  <c r="AJ60" i="62"/>
  <c r="AJ59" i="62"/>
  <c r="AJ58" i="62"/>
  <c r="AJ57" i="62"/>
  <c r="AJ56" i="62"/>
  <c r="AJ55" i="62"/>
  <c r="AJ54" i="62"/>
  <c r="AJ53" i="62"/>
  <c r="AJ52" i="62"/>
  <c r="AJ51" i="62"/>
  <c r="AJ50" i="62"/>
  <c r="AJ49" i="62"/>
  <c r="AJ48" i="62"/>
  <c r="X84" i="62"/>
  <c r="AJ88" i="62"/>
  <c r="AJ87" i="62"/>
  <c r="AJ86" i="62"/>
  <c r="AJ85" i="62"/>
  <c r="AJ84" i="62"/>
  <c r="AJ83" i="62"/>
  <c r="AJ82" i="62"/>
  <c r="AJ81" i="62"/>
  <c r="AJ80" i="62"/>
  <c r="AJ79" i="62"/>
  <c r="AJ78" i="62"/>
  <c r="AJ77" i="62"/>
  <c r="AJ76" i="62"/>
  <c r="AJ75" i="62"/>
  <c r="AJ74" i="62"/>
  <c r="AJ73" i="62"/>
  <c r="AJ72" i="62"/>
  <c r="AJ71" i="62"/>
  <c r="AJ70" i="62"/>
  <c r="AJ69" i="62"/>
  <c r="X105" i="62"/>
  <c r="AJ109" i="62"/>
  <c r="AJ108" i="62"/>
  <c r="AJ107" i="62"/>
  <c r="AJ106" i="62"/>
  <c r="AJ105" i="62"/>
  <c r="AJ104" i="62"/>
  <c r="AJ103" i="62"/>
  <c r="AJ102" i="62"/>
  <c r="AJ101" i="62"/>
  <c r="AJ100" i="62"/>
  <c r="AJ99" i="62"/>
  <c r="AJ98" i="62"/>
  <c r="AJ97" i="62"/>
  <c r="AJ96" i="62"/>
  <c r="AJ95" i="62"/>
  <c r="AJ94" i="62"/>
  <c r="AJ93" i="62"/>
  <c r="AJ92" i="62"/>
  <c r="AJ91" i="62"/>
  <c r="AJ90" i="62"/>
  <c r="X126" i="62"/>
  <c r="AJ130" i="62"/>
  <c r="AJ129" i="62"/>
  <c r="AJ128" i="62"/>
  <c r="AJ127" i="62"/>
  <c r="AJ126" i="62"/>
  <c r="AJ125" i="62"/>
  <c r="AJ124" i="62"/>
  <c r="AJ123" i="62"/>
  <c r="AJ122" i="62"/>
  <c r="AJ121" i="62"/>
  <c r="AJ120" i="62"/>
  <c r="AJ119" i="62"/>
  <c r="AJ118" i="62"/>
  <c r="AJ117" i="62"/>
  <c r="AJ116" i="62"/>
  <c r="AJ115" i="62"/>
  <c r="AJ114" i="62"/>
  <c r="AJ113" i="62"/>
  <c r="AJ112" i="62"/>
  <c r="AJ111" i="62"/>
  <c r="X147" i="62"/>
  <c r="AJ151" i="62"/>
  <c r="AJ150" i="62"/>
  <c r="AJ149" i="62"/>
  <c r="AJ148" i="62"/>
  <c r="AJ147" i="62"/>
  <c r="AJ146" i="62"/>
  <c r="AJ145" i="62"/>
  <c r="AJ144" i="62"/>
  <c r="AJ143" i="62"/>
  <c r="AJ142" i="62"/>
  <c r="AJ141" i="62"/>
  <c r="AJ140" i="62"/>
  <c r="AJ139" i="62"/>
  <c r="AJ138" i="62"/>
  <c r="AJ137" i="62"/>
  <c r="AJ136" i="62"/>
  <c r="AJ135" i="62"/>
  <c r="AJ134" i="62"/>
  <c r="AJ133" i="62"/>
  <c r="AJ132" i="62"/>
  <c r="X168" i="62"/>
  <c r="AJ172" i="62"/>
  <c r="AJ171" i="62"/>
  <c r="AJ170" i="62"/>
  <c r="AJ169" i="62"/>
  <c r="AJ168" i="62"/>
  <c r="AJ167" i="62"/>
  <c r="AJ166" i="62"/>
  <c r="AJ165" i="62"/>
  <c r="AJ164" i="62"/>
  <c r="AJ163" i="62"/>
  <c r="AJ162" i="62"/>
  <c r="AJ161" i="62"/>
  <c r="AJ160" i="62"/>
  <c r="AJ159" i="62"/>
  <c r="AJ158" i="62"/>
  <c r="AJ157" i="62"/>
  <c r="AJ156" i="62"/>
  <c r="AJ155" i="62"/>
  <c r="AJ154" i="62"/>
  <c r="AJ153" i="62"/>
  <c r="X189" i="62"/>
  <c r="AJ193" i="62"/>
  <c r="AJ192" i="62"/>
  <c r="AJ191" i="62"/>
  <c r="AJ190" i="62"/>
  <c r="AJ189" i="62"/>
  <c r="AJ188" i="62"/>
  <c r="AJ187" i="62"/>
  <c r="AJ186" i="62"/>
  <c r="AJ185" i="62"/>
  <c r="AJ184" i="62"/>
  <c r="AJ183" i="62"/>
  <c r="AJ182" i="62"/>
  <c r="AJ181" i="62"/>
  <c r="AJ180" i="62"/>
  <c r="AJ179" i="62"/>
  <c r="AJ178" i="62"/>
  <c r="AJ177" i="62"/>
  <c r="AJ176" i="62"/>
  <c r="AJ175" i="62"/>
  <c r="AJ174" i="62"/>
  <c r="AJ109" i="68"/>
  <c r="AJ108" i="68"/>
  <c r="AJ107" i="68"/>
  <c r="AJ106" i="68"/>
  <c r="AJ105" i="68"/>
  <c r="AJ104" i="68"/>
  <c r="AJ103" i="68"/>
  <c r="AJ102" i="68"/>
  <c r="AJ101" i="68"/>
  <c r="AJ100" i="68"/>
  <c r="AJ99" i="68"/>
  <c r="AJ98" i="68"/>
  <c r="AJ97" i="68"/>
  <c r="AJ96" i="68"/>
  <c r="AJ95" i="68"/>
  <c r="AJ94" i="68"/>
  <c r="AJ93" i="68"/>
  <c r="AJ92" i="68"/>
  <c r="AJ91" i="68"/>
  <c r="AJ90" i="68"/>
  <c r="AJ130" i="68"/>
  <c r="AJ129" i="68"/>
  <c r="AJ128" i="68"/>
  <c r="AJ127" i="68"/>
  <c r="AJ126" i="68"/>
  <c r="AJ125" i="68"/>
  <c r="AJ124" i="68"/>
  <c r="AJ123" i="68"/>
  <c r="AJ122" i="68"/>
  <c r="AJ121" i="68"/>
  <c r="AJ120" i="68"/>
  <c r="AJ119" i="68"/>
  <c r="AJ118" i="68"/>
  <c r="AJ117" i="68"/>
  <c r="AJ116" i="68"/>
  <c r="AJ115" i="68"/>
  <c r="AJ114" i="68"/>
  <c r="AJ113" i="68"/>
  <c r="AJ112" i="68"/>
  <c r="AJ111" i="68"/>
  <c r="AJ146" i="68"/>
  <c r="AJ145" i="68"/>
  <c r="AJ144" i="68"/>
  <c r="AJ143" i="68"/>
  <c r="AJ142" i="68"/>
  <c r="AJ141" i="68"/>
  <c r="AJ140" i="68"/>
  <c r="AJ139" i="68"/>
  <c r="AJ138" i="68"/>
  <c r="AJ137" i="68"/>
  <c r="AJ136" i="68"/>
  <c r="AJ135" i="68"/>
  <c r="AJ134" i="68"/>
  <c r="AJ133" i="68"/>
  <c r="AJ132" i="68"/>
  <c r="V21" i="62"/>
  <c r="V42" i="62"/>
  <c r="V63" i="62"/>
  <c r="V84" i="62"/>
  <c r="V105" i="62"/>
  <c r="V126" i="62"/>
  <c r="V147" i="62"/>
  <c r="V168" i="62"/>
  <c r="V189" i="62"/>
  <c r="U21" i="62"/>
  <c r="U42" i="62"/>
  <c r="U63" i="62"/>
  <c r="U84" i="62"/>
  <c r="U105" i="62"/>
  <c r="U126" i="62"/>
  <c r="U147" i="62"/>
  <c r="U168" i="62"/>
  <c r="U189" i="62"/>
  <c r="Y17" i="62"/>
  <c r="Y38" i="62"/>
  <c r="Y59" i="62"/>
  <c r="Y80" i="62"/>
  <c r="Y101" i="62"/>
  <c r="Y122" i="62"/>
  <c r="Y143" i="62"/>
  <c r="Y164" i="62"/>
  <c r="Y185" i="62"/>
  <c r="X17" i="62"/>
  <c r="X290" i="62"/>
  <c r="X38" i="62"/>
  <c r="X59" i="62"/>
  <c r="X80" i="62"/>
  <c r="X101" i="62"/>
  <c r="X122" i="62"/>
  <c r="X143" i="62"/>
  <c r="X164" i="62"/>
  <c r="X185" i="62"/>
  <c r="V17" i="62"/>
  <c r="V38" i="62"/>
  <c r="V59" i="62"/>
  <c r="V80" i="62"/>
  <c r="V101" i="62"/>
  <c r="V122" i="62"/>
  <c r="V143" i="62"/>
  <c r="V164" i="62"/>
  <c r="V185" i="62"/>
  <c r="U17" i="62"/>
  <c r="U38" i="62"/>
  <c r="U59" i="62"/>
  <c r="U80" i="62"/>
  <c r="U101" i="62"/>
  <c r="U122" i="62"/>
  <c r="U143" i="62"/>
  <c r="U164" i="62"/>
  <c r="U185" i="62"/>
  <c r="Y124" i="62"/>
  <c r="X124" i="62"/>
  <c r="V124" i="62"/>
  <c r="U124" i="62"/>
  <c r="Y15" i="62"/>
  <c r="Y36" i="62"/>
  <c r="Y57" i="62"/>
  <c r="Y78" i="62"/>
  <c r="Y99" i="62"/>
  <c r="Y120" i="62"/>
  <c r="Y141" i="62"/>
  <c r="Y162" i="62"/>
  <c r="Y183" i="62"/>
  <c r="Y99" i="68"/>
  <c r="Y120" i="68"/>
  <c r="Y141" i="68"/>
  <c r="X15" i="62"/>
  <c r="X288" i="62"/>
  <c r="X36" i="62"/>
  <c r="X57" i="62"/>
  <c r="X78" i="62"/>
  <c r="X99" i="62"/>
  <c r="X120" i="62"/>
  <c r="X141" i="62"/>
  <c r="X162" i="62"/>
  <c r="X183" i="62"/>
  <c r="X99" i="68"/>
  <c r="X120" i="68"/>
  <c r="X141" i="68"/>
  <c r="V15" i="62"/>
  <c r="V36" i="62"/>
  <c r="V57" i="62"/>
  <c r="V78" i="62"/>
  <c r="V99" i="62"/>
  <c r="V120" i="62"/>
  <c r="V141" i="62"/>
  <c r="V162" i="62"/>
  <c r="V183" i="62"/>
  <c r="V99" i="68"/>
  <c r="V120" i="68"/>
  <c r="V141" i="68"/>
  <c r="U15" i="62"/>
  <c r="U36" i="62"/>
  <c r="U57" i="62"/>
  <c r="U78" i="62"/>
  <c r="U99" i="62"/>
  <c r="U120" i="62"/>
  <c r="U141" i="62"/>
  <c r="U162" i="62"/>
  <c r="U183" i="62"/>
  <c r="U99" i="68"/>
  <c r="U120" i="68"/>
  <c r="U141" i="68"/>
  <c r="Y16" i="62"/>
  <c r="Y37" i="62"/>
  <c r="Y58" i="62"/>
  <c r="Y79" i="62"/>
  <c r="Y100" i="62"/>
  <c r="Y121" i="62"/>
  <c r="Y142" i="62"/>
  <c r="Y163" i="62"/>
  <c r="Y184" i="62"/>
  <c r="Y100" i="68"/>
  <c r="Y121" i="68"/>
  <c r="Y142" i="68"/>
  <c r="X16" i="62"/>
  <c r="X289" i="62"/>
  <c r="X37" i="62"/>
  <c r="X58" i="62"/>
  <c r="X79" i="62"/>
  <c r="X100" i="62"/>
  <c r="X121" i="62"/>
  <c r="X142" i="62"/>
  <c r="X163" i="62"/>
  <c r="X184" i="62"/>
  <c r="X100" i="68"/>
  <c r="X121" i="68"/>
  <c r="X142" i="68"/>
  <c r="V16" i="62"/>
  <c r="V37" i="62"/>
  <c r="V58" i="62"/>
  <c r="V79" i="62"/>
  <c r="V100" i="62"/>
  <c r="V121" i="62"/>
  <c r="V142" i="62"/>
  <c r="V163" i="62"/>
  <c r="V184" i="62"/>
  <c r="V100" i="68"/>
  <c r="V121" i="68"/>
  <c r="V142" i="68"/>
  <c r="U16" i="62"/>
  <c r="U37" i="62"/>
  <c r="U58" i="62"/>
  <c r="U79" i="62"/>
  <c r="U100" i="62"/>
  <c r="U121" i="62"/>
  <c r="U142" i="62"/>
  <c r="U163" i="62"/>
  <c r="U184" i="62"/>
  <c r="U100" i="68"/>
  <c r="U121" i="68"/>
  <c r="U142" i="68"/>
  <c r="Y18" i="62"/>
  <c r="Y39" i="62"/>
  <c r="Y60" i="62"/>
  <c r="Y81" i="62"/>
  <c r="Y102" i="62"/>
  <c r="Y123" i="62"/>
  <c r="Y144" i="62"/>
  <c r="Y165" i="62"/>
  <c r="Y186" i="62"/>
  <c r="Y102" i="68"/>
  <c r="Y123" i="68"/>
  <c r="Y144" i="68"/>
  <c r="X18" i="62"/>
  <c r="X291" i="62"/>
  <c r="X39" i="62"/>
  <c r="X60" i="62"/>
  <c r="X81" i="62"/>
  <c r="X102" i="62"/>
  <c r="X123" i="62"/>
  <c r="X144" i="62"/>
  <c r="X165" i="62"/>
  <c r="X186" i="62"/>
  <c r="X102" i="68"/>
  <c r="X123" i="68"/>
  <c r="X144" i="68"/>
  <c r="AH144" i="68" s="1"/>
  <c r="V18" i="62"/>
  <c r="V39" i="62"/>
  <c r="V60" i="62"/>
  <c r="V81" i="62"/>
  <c r="V102" i="62"/>
  <c r="V123" i="62"/>
  <c r="V144" i="62"/>
  <c r="V165" i="62"/>
  <c r="V186" i="62"/>
  <c r="V102" i="68"/>
  <c r="V123" i="68"/>
  <c r="V144" i="68"/>
  <c r="U18" i="62"/>
  <c r="U39" i="62"/>
  <c r="U60" i="62"/>
  <c r="U81" i="62"/>
  <c r="U102" i="62"/>
  <c r="U123" i="62"/>
  <c r="U144" i="62"/>
  <c r="U165" i="62"/>
  <c r="U186" i="62"/>
  <c r="U102" i="68"/>
  <c r="U123" i="68"/>
  <c r="U144" i="68"/>
  <c r="Y14" i="62"/>
  <c r="Y35" i="62"/>
  <c r="Y56" i="62"/>
  <c r="Y77" i="62"/>
  <c r="Y98" i="62"/>
  <c r="Y119" i="62"/>
  <c r="Y140" i="62"/>
  <c r="Y161" i="62"/>
  <c r="Y182" i="62"/>
  <c r="Y98" i="68"/>
  <c r="Y119" i="68"/>
  <c r="Y140" i="68"/>
  <c r="X14" i="62"/>
  <c r="X287" i="62"/>
  <c r="X35" i="62"/>
  <c r="X56" i="62"/>
  <c r="X77" i="62"/>
  <c r="X98" i="62"/>
  <c r="X119" i="62"/>
  <c r="X140" i="62"/>
  <c r="X161" i="62"/>
  <c r="X182" i="62"/>
  <c r="X98" i="68"/>
  <c r="X119" i="68"/>
  <c r="X140" i="68"/>
  <c r="V14" i="62"/>
  <c r="V35" i="62"/>
  <c r="V56" i="62"/>
  <c r="V77" i="62"/>
  <c r="V98" i="62"/>
  <c r="V119" i="62"/>
  <c r="V140" i="62"/>
  <c r="V161" i="62"/>
  <c r="V182" i="62"/>
  <c r="V98" i="68"/>
  <c r="V119" i="68"/>
  <c r="V140" i="68"/>
  <c r="U14" i="62"/>
  <c r="U35" i="62"/>
  <c r="U56" i="62"/>
  <c r="U77" i="62"/>
  <c r="U98" i="62"/>
  <c r="U119" i="62"/>
  <c r="U140" i="62"/>
  <c r="U161" i="62"/>
  <c r="U182" i="62"/>
  <c r="U98" i="68"/>
  <c r="U119" i="68"/>
  <c r="U140" i="68"/>
  <c r="Y13" i="62"/>
  <c r="Y34" i="62"/>
  <c r="Y55" i="62"/>
  <c r="Y76" i="62"/>
  <c r="Y97" i="62"/>
  <c r="Y118" i="62"/>
  <c r="Y139" i="62"/>
  <c r="Y160" i="62"/>
  <c r="Y181" i="62"/>
  <c r="Y97" i="68"/>
  <c r="Y118" i="68"/>
  <c r="Y139" i="68"/>
  <c r="X13" i="62"/>
  <c r="X286" i="62"/>
  <c r="X34" i="62"/>
  <c r="X55" i="62"/>
  <c r="X76" i="62"/>
  <c r="X97" i="62"/>
  <c r="X118" i="62"/>
  <c r="X139" i="62"/>
  <c r="X160" i="62"/>
  <c r="X181" i="62"/>
  <c r="X97" i="68"/>
  <c r="X118" i="68"/>
  <c r="X139" i="68"/>
  <c r="V13" i="62"/>
  <c r="V34" i="62"/>
  <c r="V55" i="62"/>
  <c r="V76" i="62"/>
  <c r="V97" i="62"/>
  <c r="V118" i="62"/>
  <c r="V139" i="62"/>
  <c r="V160" i="62"/>
  <c r="V181" i="62"/>
  <c r="V97" i="68"/>
  <c r="V118" i="68"/>
  <c r="V139" i="68"/>
  <c r="U13" i="62"/>
  <c r="U34" i="62"/>
  <c r="U55" i="62"/>
  <c r="U76" i="62"/>
  <c r="U97" i="62"/>
  <c r="U118" i="62"/>
  <c r="U139" i="62"/>
  <c r="U160" i="62"/>
  <c r="U181" i="62"/>
  <c r="U97" i="68"/>
  <c r="U118" i="68"/>
  <c r="U139" i="68"/>
  <c r="Y12" i="62"/>
  <c r="Y33" i="62"/>
  <c r="Y54" i="62"/>
  <c r="Y75" i="62"/>
  <c r="Y96" i="62"/>
  <c r="Y117" i="62"/>
  <c r="Y138" i="62"/>
  <c r="Y159" i="62"/>
  <c r="Y180" i="62"/>
  <c r="Y96" i="68"/>
  <c r="Y117" i="68"/>
  <c r="Y138" i="68"/>
  <c r="X12" i="62"/>
  <c r="X285" i="62"/>
  <c r="X33" i="62"/>
  <c r="X54" i="62"/>
  <c r="X75" i="62"/>
  <c r="X96" i="62"/>
  <c r="X117" i="62"/>
  <c r="X138" i="62"/>
  <c r="X159" i="62"/>
  <c r="X180" i="62"/>
  <c r="X96" i="68"/>
  <c r="X117" i="68"/>
  <c r="X138" i="68"/>
  <c r="V12" i="62"/>
  <c r="V33" i="62"/>
  <c r="V54" i="62"/>
  <c r="V75" i="62"/>
  <c r="V96" i="62"/>
  <c r="V117" i="62"/>
  <c r="V138" i="62"/>
  <c r="V159" i="62"/>
  <c r="V180" i="62"/>
  <c r="V96" i="68"/>
  <c r="V117" i="68"/>
  <c r="V138" i="68"/>
  <c r="U12" i="62"/>
  <c r="U33" i="62"/>
  <c r="U54" i="62"/>
  <c r="U75" i="62"/>
  <c r="U96" i="62"/>
  <c r="U117" i="62"/>
  <c r="U138" i="62"/>
  <c r="U159" i="62"/>
  <c r="U180" i="62"/>
  <c r="U96" i="68"/>
  <c r="U117" i="68"/>
  <c r="U138" i="68"/>
  <c r="Y11" i="62"/>
  <c r="Y32" i="62"/>
  <c r="Y53" i="62"/>
  <c r="Y74" i="62"/>
  <c r="Y95" i="62"/>
  <c r="Y116" i="62"/>
  <c r="Y137" i="62"/>
  <c r="Y158" i="62"/>
  <c r="Y179" i="62"/>
  <c r="Y95" i="68"/>
  <c r="Y116" i="68"/>
  <c r="Y137" i="68"/>
  <c r="X11" i="62"/>
  <c r="X284" i="62"/>
  <c r="X32" i="62"/>
  <c r="X53" i="62"/>
  <c r="X74" i="62"/>
  <c r="X95" i="62"/>
  <c r="X116" i="62"/>
  <c r="X137" i="62"/>
  <c r="X158" i="62"/>
  <c r="X179" i="62"/>
  <c r="X95" i="68"/>
  <c r="X116" i="68"/>
  <c r="X137" i="68"/>
  <c r="V11" i="62"/>
  <c r="V32" i="62"/>
  <c r="V53" i="62"/>
  <c r="V74" i="62"/>
  <c r="V95" i="62"/>
  <c r="V116" i="62"/>
  <c r="V137" i="62"/>
  <c r="V158" i="62"/>
  <c r="V179" i="62"/>
  <c r="V95" i="68"/>
  <c r="V116" i="68"/>
  <c r="V137" i="68"/>
  <c r="U11" i="62"/>
  <c r="U32" i="62"/>
  <c r="U53" i="62"/>
  <c r="U74" i="62"/>
  <c r="U95" i="62"/>
  <c r="U116" i="62"/>
  <c r="U137" i="62"/>
  <c r="U158" i="62"/>
  <c r="U179" i="62"/>
  <c r="U95" i="68"/>
  <c r="U116" i="68"/>
  <c r="U137" i="68"/>
  <c r="Y10" i="62"/>
  <c r="Y31" i="62"/>
  <c r="Y52" i="62"/>
  <c r="Y73" i="62"/>
  <c r="Y94" i="62"/>
  <c r="Y115" i="62"/>
  <c r="Y136" i="62"/>
  <c r="Y157" i="62"/>
  <c r="Y178" i="62"/>
  <c r="Y94" i="68"/>
  <c r="Y115" i="68"/>
  <c r="Y136" i="68"/>
  <c r="X10" i="62"/>
  <c r="X283" i="62"/>
  <c r="X31" i="62"/>
  <c r="X52" i="62"/>
  <c r="X73" i="62"/>
  <c r="X94" i="62"/>
  <c r="X115" i="62"/>
  <c r="X136" i="62"/>
  <c r="X157" i="62"/>
  <c r="X178" i="62"/>
  <c r="X94" i="68"/>
  <c r="X115" i="68"/>
  <c r="X136" i="68"/>
  <c r="V10" i="62"/>
  <c r="V31" i="62"/>
  <c r="V52" i="62"/>
  <c r="V73" i="62"/>
  <c r="V94" i="62"/>
  <c r="V115" i="62"/>
  <c r="V136" i="62"/>
  <c r="V157" i="62"/>
  <c r="V178" i="62"/>
  <c r="V94" i="68"/>
  <c r="V115" i="68"/>
  <c r="V136" i="68"/>
  <c r="U10" i="62"/>
  <c r="U31" i="62"/>
  <c r="U52" i="62"/>
  <c r="U73" i="62"/>
  <c r="U94" i="62"/>
  <c r="U115" i="62"/>
  <c r="U136" i="62"/>
  <c r="U157" i="62"/>
  <c r="U178" i="62"/>
  <c r="U94" i="68"/>
  <c r="U115" i="68"/>
  <c r="U136" i="68"/>
  <c r="Y8" i="62"/>
  <c r="Y29" i="62"/>
  <c r="Y50" i="62"/>
  <c r="Y71" i="62"/>
  <c r="Y92" i="62"/>
  <c r="Y113" i="62"/>
  <c r="Y134" i="62"/>
  <c r="Y155" i="62"/>
  <c r="Y176" i="62"/>
  <c r="Y92" i="68"/>
  <c r="Y113" i="68"/>
  <c r="Y134" i="68"/>
  <c r="X8" i="62"/>
  <c r="X281" i="62"/>
  <c r="X29" i="62"/>
  <c r="X50" i="62"/>
  <c r="X71" i="62"/>
  <c r="X92" i="62"/>
  <c r="X113" i="62"/>
  <c r="X134" i="62"/>
  <c r="X155" i="62"/>
  <c r="X176" i="62"/>
  <c r="X92" i="68"/>
  <c r="X113" i="68"/>
  <c r="X134" i="68"/>
  <c r="V8" i="62"/>
  <c r="V29" i="62"/>
  <c r="V50" i="62"/>
  <c r="V71" i="62"/>
  <c r="V92" i="62"/>
  <c r="V113" i="62"/>
  <c r="V134" i="62"/>
  <c r="V155" i="62"/>
  <c r="V176" i="62"/>
  <c r="V92" i="68"/>
  <c r="V113" i="68"/>
  <c r="V134" i="68"/>
  <c r="U8" i="62"/>
  <c r="U29" i="62"/>
  <c r="U50" i="62"/>
  <c r="U71" i="62"/>
  <c r="U92" i="62"/>
  <c r="U113" i="62"/>
  <c r="U134" i="62"/>
  <c r="U155" i="62"/>
  <c r="U176" i="62"/>
  <c r="U92" i="68"/>
  <c r="U113" i="68"/>
  <c r="U134" i="68"/>
  <c r="Y9" i="62"/>
  <c r="Y30" i="62"/>
  <c r="Y51" i="62"/>
  <c r="Y72" i="62"/>
  <c r="Y93" i="62"/>
  <c r="Y114" i="62"/>
  <c r="Y135" i="62"/>
  <c r="Y156" i="62"/>
  <c r="Y177" i="62"/>
  <c r="Y93" i="68"/>
  <c r="Y114" i="68"/>
  <c r="Y135" i="68"/>
  <c r="X9" i="62"/>
  <c r="X282" i="62"/>
  <c r="X30" i="62"/>
  <c r="X51" i="62"/>
  <c r="X72" i="62"/>
  <c r="X93" i="62"/>
  <c r="X114" i="62"/>
  <c r="X135" i="62"/>
  <c r="X156" i="62"/>
  <c r="X177" i="62"/>
  <c r="X93" i="68"/>
  <c r="X114" i="68"/>
  <c r="X135" i="68"/>
  <c r="V9" i="62"/>
  <c r="V30" i="62"/>
  <c r="V51" i="62"/>
  <c r="V72" i="62"/>
  <c r="V93" i="62"/>
  <c r="V114" i="62"/>
  <c r="V135" i="62"/>
  <c r="V156" i="62"/>
  <c r="V177" i="62"/>
  <c r="V93" i="68"/>
  <c r="V114" i="68"/>
  <c r="V135" i="68"/>
  <c r="U9" i="62"/>
  <c r="U30" i="62"/>
  <c r="U51" i="62"/>
  <c r="U72" i="62"/>
  <c r="U93" i="62"/>
  <c r="U114" i="62"/>
  <c r="U135" i="62"/>
  <c r="U156" i="62"/>
  <c r="U177" i="62"/>
  <c r="U93" i="68"/>
  <c r="U114" i="68"/>
  <c r="U135" i="68"/>
  <c r="Y7" i="62"/>
  <c r="Y28" i="62"/>
  <c r="Y49" i="62"/>
  <c r="Y70" i="62"/>
  <c r="Y91" i="62"/>
  <c r="Y112" i="62"/>
  <c r="Y133" i="62"/>
  <c r="Y154" i="62"/>
  <c r="Y175" i="62"/>
  <c r="Y91" i="68"/>
  <c r="Y112" i="68"/>
  <c r="Y133" i="68"/>
  <c r="X7" i="62"/>
  <c r="X280" i="62"/>
  <c r="X28" i="62"/>
  <c r="X49" i="62"/>
  <c r="X70" i="62"/>
  <c r="X91" i="62"/>
  <c r="X112" i="62"/>
  <c r="X133" i="62"/>
  <c r="X154" i="62"/>
  <c r="X175" i="62"/>
  <c r="X91" i="68"/>
  <c r="X112" i="68"/>
  <c r="X133" i="68"/>
  <c r="V7" i="62"/>
  <c r="V28" i="62"/>
  <c r="V49" i="62"/>
  <c r="V70" i="62"/>
  <c r="V91" i="62"/>
  <c r="V112" i="62"/>
  <c r="V133" i="62"/>
  <c r="V154" i="62"/>
  <c r="V175" i="62"/>
  <c r="V91" i="68"/>
  <c r="V112" i="68"/>
  <c r="V133" i="68"/>
  <c r="U7" i="62"/>
  <c r="U28" i="62"/>
  <c r="U49" i="62"/>
  <c r="U70" i="62"/>
  <c r="U91" i="62"/>
  <c r="U112" i="62"/>
  <c r="U133" i="62"/>
  <c r="U154" i="62"/>
  <c r="U175" i="62"/>
  <c r="U91" i="68"/>
  <c r="U112" i="68"/>
  <c r="U133" i="68"/>
  <c r="Y6" i="62"/>
  <c r="Y27" i="62"/>
  <c r="Y48" i="62"/>
  <c r="Y69" i="62"/>
  <c r="Y90" i="62"/>
  <c r="Y111" i="62"/>
  <c r="Y132" i="62"/>
  <c r="Y153" i="62"/>
  <c r="Y174" i="62"/>
  <c r="Y90" i="68"/>
  <c r="Y111" i="68"/>
  <c r="Y132" i="68"/>
  <c r="X6" i="62"/>
  <c r="X279" i="62"/>
  <c r="X27" i="62"/>
  <c r="X48" i="62"/>
  <c r="X69" i="62"/>
  <c r="X90" i="62"/>
  <c r="X111" i="62"/>
  <c r="X132" i="62"/>
  <c r="X153" i="62"/>
  <c r="X174" i="62"/>
  <c r="X90" i="68"/>
  <c r="X111" i="68"/>
  <c r="X132" i="68"/>
  <c r="V6" i="62"/>
  <c r="V27" i="62"/>
  <c r="V48" i="62"/>
  <c r="V69" i="62"/>
  <c r="V90" i="62"/>
  <c r="V111" i="62"/>
  <c r="V132" i="62"/>
  <c r="V153" i="62"/>
  <c r="V174" i="62"/>
  <c r="V90" i="68"/>
  <c r="V111" i="68"/>
  <c r="V132" i="68"/>
  <c r="U6" i="62"/>
  <c r="U48" i="62"/>
  <c r="U69" i="62"/>
  <c r="U90" i="62"/>
  <c r="U111" i="62"/>
  <c r="U132" i="62"/>
  <c r="U153" i="62"/>
  <c r="U174" i="62"/>
  <c r="U90" i="68"/>
  <c r="U111" i="68"/>
  <c r="U132" i="68"/>
  <c r="Y19" i="62"/>
  <c r="Y20" i="62"/>
  <c r="Y22" i="62"/>
  <c r="Y40" i="62"/>
  <c r="Y41" i="62"/>
  <c r="Y43" i="62"/>
  <c r="Y61" i="62"/>
  <c r="Y62" i="62"/>
  <c r="Y64" i="62"/>
  <c r="Y82" i="62"/>
  <c r="Y83" i="62"/>
  <c r="Y85" i="62"/>
  <c r="Y103" i="62"/>
  <c r="Y104" i="62"/>
  <c r="Y106" i="62"/>
  <c r="Y125" i="62"/>
  <c r="Y145" i="62"/>
  <c r="Y146" i="62"/>
  <c r="Y148" i="62"/>
  <c r="Y166" i="62"/>
  <c r="Y167" i="62"/>
  <c r="Y169" i="62"/>
  <c r="Y187" i="62"/>
  <c r="Y188" i="62"/>
  <c r="Y190" i="62"/>
  <c r="Y101" i="68"/>
  <c r="Y106" i="68"/>
  <c r="Y122" i="68"/>
  <c r="Y127" i="68"/>
  <c r="Y143" i="68"/>
  <c r="Y148" i="68"/>
  <c r="X19" i="62"/>
  <c r="X20" i="62"/>
  <c r="X22" i="62"/>
  <c r="X292" i="62"/>
  <c r="X293" i="62"/>
  <c r="X295" i="62"/>
  <c r="X40" i="62"/>
  <c r="X41" i="62"/>
  <c r="X43" i="62"/>
  <c r="X61" i="62"/>
  <c r="X62" i="62"/>
  <c r="X64" i="62"/>
  <c r="X82" i="62"/>
  <c r="X83" i="62"/>
  <c r="X85" i="62"/>
  <c r="X103" i="62"/>
  <c r="X104" i="62"/>
  <c r="X106" i="62"/>
  <c r="X125" i="62"/>
  <c r="X145" i="62"/>
  <c r="X146" i="62"/>
  <c r="X148" i="62"/>
  <c r="X166" i="62"/>
  <c r="X167" i="62"/>
  <c r="X169" i="62"/>
  <c r="X187" i="62"/>
  <c r="X188" i="62"/>
  <c r="X190" i="62"/>
  <c r="X101" i="68"/>
  <c r="X106" i="68"/>
  <c r="X122" i="68"/>
  <c r="X127" i="68"/>
  <c r="X143" i="68"/>
  <c r="X148" i="68"/>
  <c r="V19" i="62"/>
  <c r="V20" i="62"/>
  <c r="V22" i="62"/>
  <c r="V40" i="62"/>
  <c r="V41" i="62"/>
  <c r="V43" i="62"/>
  <c r="V61" i="62"/>
  <c r="V62" i="62"/>
  <c r="V64" i="62"/>
  <c r="V82" i="62"/>
  <c r="V83" i="62"/>
  <c r="V85" i="62"/>
  <c r="V103" i="62"/>
  <c r="V104" i="62"/>
  <c r="V106" i="62"/>
  <c r="V125" i="62"/>
  <c r="V145" i="62"/>
  <c r="V146" i="62"/>
  <c r="V148" i="62"/>
  <c r="V166" i="62"/>
  <c r="V167" i="62"/>
  <c r="V169" i="62"/>
  <c r="V187" i="62"/>
  <c r="V188" i="62"/>
  <c r="V190" i="62"/>
  <c r="V101" i="68"/>
  <c r="V106" i="68"/>
  <c r="V122" i="68"/>
  <c r="V131" i="68" s="1"/>
  <c r="V127" i="68"/>
  <c r="V143" i="68"/>
  <c r="V148" i="68"/>
  <c r="U19" i="62"/>
  <c r="U20" i="62"/>
  <c r="U22" i="62"/>
  <c r="U40" i="62"/>
  <c r="U41" i="62"/>
  <c r="U43" i="62"/>
  <c r="U61" i="62"/>
  <c r="U62" i="62"/>
  <c r="U64" i="62"/>
  <c r="U82" i="62"/>
  <c r="U83" i="62"/>
  <c r="U85" i="62"/>
  <c r="U103" i="62"/>
  <c r="U104" i="62"/>
  <c r="U106" i="62"/>
  <c r="U125" i="62"/>
  <c r="U145" i="62"/>
  <c r="U146" i="62"/>
  <c r="U148" i="62"/>
  <c r="U166" i="62"/>
  <c r="U167" i="62"/>
  <c r="U169" i="62"/>
  <c r="U187" i="62"/>
  <c r="U188" i="62"/>
  <c r="U190" i="62"/>
  <c r="U101" i="68"/>
  <c r="U106" i="68"/>
  <c r="U122" i="68"/>
  <c r="U127" i="68"/>
  <c r="U143" i="68"/>
  <c r="U148" i="68"/>
  <c r="F161" i="40"/>
  <c r="E161" i="40"/>
  <c r="C161" i="40"/>
  <c r="B161" i="40"/>
  <c r="O184" i="40"/>
  <c r="M230" i="40"/>
  <c r="P184" i="40"/>
  <c r="P207" i="40"/>
  <c r="P230" i="40"/>
  <c r="O207" i="40"/>
  <c r="O230" i="40"/>
  <c r="L230" i="40"/>
  <c r="M184" i="40"/>
  <c r="L184" i="40"/>
  <c r="O181" i="40"/>
  <c r="P181" i="40"/>
  <c r="P204" i="40"/>
  <c r="O204" i="40"/>
  <c r="O227" i="40"/>
  <c r="L227" i="40"/>
  <c r="M181" i="40"/>
  <c r="L181" i="40"/>
  <c r="O180" i="40"/>
  <c r="P180" i="40"/>
  <c r="P203" i="40"/>
  <c r="O203" i="40"/>
  <c r="O226" i="40"/>
  <c r="L226" i="40"/>
  <c r="M180" i="40"/>
  <c r="L180" i="40"/>
  <c r="J184" i="40"/>
  <c r="H230" i="40"/>
  <c r="K184" i="40"/>
  <c r="K207" i="40"/>
  <c r="K230" i="40"/>
  <c r="J207" i="40"/>
  <c r="J230" i="40"/>
  <c r="G230" i="40"/>
  <c r="H184" i="40"/>
  <c r="G184" i="40"/>
  <c r="J181" i="40"/>
  <c r="H227" i="40"/>
  <c r="K181" i="40"/>
  <c r="K204" i="40"/>
  <c r="K227" i="40"/>
  <c r="J204" i="40"/>
  <c r="J227" i="40"/>
  <c r="G227" i="40"/>
  <c r="H181" i="40"/>
  <c r="G181" i="40"/>
  <c r="U109" i="68"/>
  <c r="U130" i="68"/>
  <c r="U151" i="68"/>
  <c r="V109" i="68"/>
  <c r="V130" i="68"/>
  <c r="V151" i="68"/>
  <c r="X109" i="68"/>
  <c r="X130" i="68"/>
  <c r="X151" i="68"/>
  <c r="Y109" i="68"/>
  <c r="Y130" i="68"/>
  <c r="Y151" i="68"/>
  <c r="Y25" i="62"/>
  <c r="Y46" i="62"/>
  <c r="Y67" i="62"/>
  <c r="Y88" i="62"/>
  <c r="Y109" i="62"/>
  <c r="Y130" i="62"/>
  <c r="Y151" i="62"/>
  <c r="Y172" i="62"/>
  <c r="Y193" i="62"/>
  <c r="X25" i="62"/>
  <c r="X298" i="62"/>
  <c r="X46" i="62"/>
  <c r="X67" i="62"/>
  <c r="X88" i="62"/>
  <c r="X109" i="62"/>
  <c r="X130" i="62"/>
  <c r="X151" i="62"/>
  <c r="X172" i="62"/>
  <c r="X193" i="62"/>
  <c r="V25" i="62"/>
  <c r="V46" i="62"/>
  <c r="V67" i="62"/>
  <c r="V88" i="62"/>
  <c r="V109" i="62"/>
  <c r="V130" i="62"/>
  <c r="V151" i="62"/>
  <c r="V172" i="62"/>
  <c r="V193" i="62"/>
  <c r="U25" i="62"/>
  <c r="U46" i="62"/>
  <c r="U67" i="62"/>
  <c r="U88" i="62"/>
  <c r="U109" i="62"/>
  <c r="U130" i="62"/>
  <c r="U151" i="62"/>
  <c r="U172" i="62"/>
  <c r="U193" i="62"/>
  <c r="L207" i="40"/>
  <c r="L204" i="40"/>
  <c r="L203" i="40"/>
  <c r="G207" i="40"/>
  <c r="G204" i="40"/>
  <c r="F181" i="40"/>
  <c r="Q181" i="40" s="1"/>
  <c r="F204" i="40"/>
  <c r="E181" i="40"/>
  <c r="E204" i="40"/>
  <c r="E227" i="40"/>
  <c r="F147" i="40"/>
  <c r="F150" i="40"/>
  <c r="F152" i="40"/>
  <c r="F156" i="40"/>
  <c r="F159" i="40"/>
  <c r="E146" i="40"/>
  <c r="E147" i="40"/>
  <c r="E150" i="40"/>
  <c r="E152" i="40"/>
  <c r="E156" i="40"/>
  <c r="Q156" i="40" s="1"/>
  <c r="E159" i="40"/>
  <c r="C147" i="40"/>
  <c r="C150" i="40"/>
  <c r="C152" i="40"/>
  <c r="C156" i="40"/>
  <c r="C159" i="40"/>
  <c r="B147" i="40"/>
  <c r="B150" i="40"/>
  <c r="B152" i="40"/>
  <c r="B156" i="40"/>
  <c r="B159" i="40"/>
  <c r="C157" i="40"/>
  <c r="B157" i="40"/>
  <c r="F135" i="40"/>
  <c r="F138" i="40"/>
  <c r="B135" i="40"/>
  <c r="C135" i="40"/>
  <c r="E135" i="40"/>
  <c r="B138" i="40"/>
  <c r="C138" i="40"/>
  <c r="E138" i="40"/>
  <c r="F122" i="40"/>
  <c r="F123" i="40"/>
  <c r="F124" i="40"/>
  <c r="F126" i="40"/>
  <c r="F127" i="40"/>
  <c r="F129" i="40"/>
  <c r="F130" i="40"/>
  <c r="F133" i="40"/>
  <c r="F136" i="40"/>
  <c r="F131" i="40"/>
  <c r="F137" i="40"/>
  <c r="E122" i="40"/>
  <c r="E123" i="40"/>
  <c r="Q123" i="40"/>
  <c r="E124" i="40"/>
  <c r="E126" i="40"/>
  <c r="E127" i="40"/>
  <c r="E129" i="40"/>
  <c r="Q129" i="40" s="1"/>
  <c r="E130" i="40"/>
  <c r="Q130" i="40"/>
  <c r="E133" i="40"/>
  <c r="E132" i="40"/>
  <c r="E136" i="40"/>
  <c r="Q136" i="40"/>
  <c r="E131" i="40"/>
  <c r="E137" i="40"/>
  <c r="Q137" i="40" s="1"/>
  <c r="C122" i="40"/>
  <c r="C123" i="40"/>
  <c r="C125" i="40"/>
  <c r="C124" i="40"/>
  <c r="C127" i="40"/>
  <c r="C128" i="40"/>
  <c r="C129" i="40"/>
  <c r="C130" i="40"/>
  <c r="C133" i="40"/>
  <c r="C132" i="40"/>
  <c r="C136" i="40"/>
  <c r="C131" i="40"/>
  <c r="C137" i="40"/>
  <c r="B122" i="40"/>
  <c r="B123" i="40"/>
  <c r="B125" i="40"/>
  <c r="B124" i="40"/>
  <c r="B126" i="40"/>
  <c r="B127" i="40"/>
  <c r="B128" i="40"/>
  <c r="B129" i="40"/>
  <c r="B130" i="40"/>
  <c r="B133" i="40"/>
  <c r="B132" i="40"/>
  <c r="B136" i="40"/>
  <c r="B131" i="40"/>
  <c r="B137" i="40"/>
  <c r="F109" i="40"/>
  <c r="Q109" i="40" s="1"/>
  <c r="E109" i="40"/>
  <c r="F99" i="40"/>
  <c r="F105" i="40"/>
  <c r="F112" i="40"/>
  <c r="F108" i="40"/>
  <c r="F107" i="40"/>
  <c r="E99" i="40"/>
  <c r="E102" i="40"/>
  <c r="E103" i="40"/>
  <c r="E112" i="40"/>
  <c r="E108" i="40"/>
  <c r="E107" i="40"/>
  <c r="Q107" i="40"/>
  <c r="C99" i="40"/>
  <c r="C102" i="40"/>
  <c r="C103" i="40"/>
  <c r="C105" i="40"/>
  <c r="C112" i="40"/>
  <c r="C109" i="40"/>
  <c r="C108" i="40"/>
  <c r="C107" i="40"/>
  <c r="B99" i="40"/>
  <c r="B103" i="40"/>
  <c r="B105" i="40"/>
  <c r="B112" i="40"/>
  <c r="B109" i="40"/>
  <c r="B108" i="40"/>
  <c r="B107" i="40"/>
  <c r="F111" i="40"/>
  <c r="Y279" i="68"/>
  <c r="Y280" i="68"/>
  <c r="Y281" i="68"/>
  <c r="Y282" i="68"/>
  <c r="Y283" i="68"/>
  <c r="Y284" i="68"/>
  <c r="Y285" i="68"/>
  <c r="Y286" i="68"/>
  <c r="Y287" i="68"/>
  <c r="Y288" i="68"/>
  <c r="Y289" i="68"/>
  <c r="Y290" i="68"/>
  <c r="AI290" i="68" s="1"/>
  <c r="Y291" i="68"/>
  <c r="Y295" i="68"/>
  <c r="X279" i="68"/>
  <c r="AJ298" i="68"/>
  <c r="AJ297" i="68"/>
  <c r="AJ296" i="68"/>
  <c r="AJ295" i="68"/>
  <c r="AJ294" i="68"/>
  <c r="AJ293" i="68"/>
  <c r="AJ292" i="68"/>
  <c r="AJ291" i="68"/>
  <c r="AJ290" i="68"/>
  <c r="AJ289" i="68"/>
  <c r="AJ288" i="68"/>
  <c r="AJ287" i="68"/>
  <c r="AJ286" i="68"/>
  <c r="AJ285" i="68"/>
  <c r="AJ284" i="68"/>
  <c r="AC282" i="68" s="1"/>
  <c r="AJ283" i="68"/>
  <c r="AJ282" i="68"/>
  <c r="AJ281" i="68"/>
  <c r="AJ280" i="68"/>
  <c r="AJ279" i="68"/>
  <c r="X280" i="68"/>
  <c r="X281" i="68"/>
  <c r="X282" i="68"/>
  <c r="X283" i="68"/>
  <c r="X284" i="68"/>
  <c r="X285" i="68"/>
  <c r="X286" i="68"/>
  <c r="X287" i="68"/>
  <c r="X288" i="68"/>
  <c r="X289" i="68"/>
  <c r="X290" i="68"/>
  <c r="X291" i="68"/>
  <c r="X295" i="68"/>
  <c r="V279" i="68"/>
  <c r="V280" i="68"/>
  <c r="V281" i="68"/>
  <c r="V282" i="68"/>
  <c r="V283" i="68"/>
  <c r="V284" i="68"/>
  <c r="V285" i="68"/>
  <c r="V286" i="68"/>
  <c r="V287" i="68"/>
  <c r="V288" i="68"/>
  <c r="V289" i="68"/>
  <c r="V290" i="68"/>
  <c r="V291" i="68"/>
  <c r="V295" i="68"/>
  <c r="U279" i="68"/>
  <c r="U280" i="68"/>
  <c r="U281" i="68"/>
  <c r="U282" i="68"/>
  <c r="U283" i="68"/>
  <c r="U284" i="68"/>
  <c r="U285" i="68"/>
  <c r="U286" i="68"/>
  <c r="U287" i="68"/>
  <c r="U288" i="68"/>
  <c r="U289" i="68"/>
  <c r="U290" i="68"/>
  <c r="U291" i="68"/>
  <c r="U295" i="68"/>
  <c r="Y298" i="68"/>
  <c r="X298" i="68"/>
  <c r="W299" i="68"/>
  <c r="V298" i="68"/>
  <c r="U298" i="68"/>
  <c r="Y258" i="68"/>
  <c r="Y259" i="68"/>
  <c r="Y260" i="68"/>
  <c r="Y261" i="68"/>
  <c r="Y262" i="68"/>
  <c r="Y263" i="68"/>
  <c r="Y264" i="68"/>
  <c r="Y265" i="68"/>
  <c r="Y266" i="68"/>
  <c r="Y267" i="68"/>
  <c r="Y268" i="68"/>
  <c r="Y269" i="68"/>
  <c r="Y270" i="68"/>
  <c r="Y274" i="68"/>
  <c r="X258" i="68"/>
  <c r="AJ277" i="68"/>
  <c r="AJ276" i="68"/>
  <c r="AJ275" i="68"/>
  <c r="AJ274" i="68"/>
  <c r="AJ273" i="68"/>
  <c r="AJ272" i="68"/>
  <c r="AJ271" i="68"/>
  <c r="AJ270" i="68"/>
  <c r="AJ269" i="68"/>
  <c r="AJ268" i="68"/>
  <c r="AJ267" i="68"/>
  <c r="AJ266" i="68"/>
  <c r="AJ265" i="68"/>
  <c r="AJ264" i="68"/>
  <c r="AJ263" i="68"/>
  <c r="AJ262" i="68"/>
  <c r="AJ261" i="68"/>
  <c r="AJ260" i="68"/>
  <c r="AJ259" i="68"/>
  <c r="AJ258" i="68"/>
  <c r="X259" i="68"/>
  <c r="X260" i="68"/>
  <c r="X261" i="68"/>
  <c r="X262" i="68"/>
  <c r="X263" i="68"/>
  <c r="X264" i="68"/>
  <c r="X265" i="68"/>
  <c r="X266" i="68"/>
  <c r="X267" i="68"/>
  <c r="X268" i="68"/>
  <c r="X269" i="68"/>
  <c r="X270" i="68"/>
  <c r="X274" i="68"/>
  <c r="V258" i="68"/>
  <c r="V259" i="68"/>
  <c r="V260" i="68"/>
  <c r="V261" i="68"/>
  <c r="V262" i="68"/>
  <c r="V263" i="68"/>
  <c r="V264" i="68"/>
  <c r="V265" i="68"/>
  <c r="V266" i="68"/>
  <c r="V267" i="68"/>
  <c r="V268" i="68"/>
  <c r="V269" i="68"/>
  <c r="V270" i="68"/>
  <c r="V274" i="68"/>
  <c r="U258" i="68"/>
  <c r="U259" i="68"/>
  <c r="U260" i="68"/>
  <c r="U261" i="68"/>
  <c r="U262" i="68"/>
  <c r="U263" i="68"/>
  <c r="U264" i="68"/>
  <c r="U265" i="68"/>
  <c r="U266" i="68"/>
  <c r="U267" i="68"/>
  <c r="U268" i="68"/>
  <c r="U269" i="68"/>
  <c r="U270" i="68"/>
  <c r="U274" i="68"/>
  <c r="Y277" i="68"/>
  <c r="X277" i="68"/>
  <c r="W278" i="68"/>
  <c r="V277" i="68"/>
  <c r="U277" i="68"/>
  <c r="Y237" i="68"/>
  <c r="Y238" i="68"/>
  <c r="Y239" i="68"/>
  <c r="Y240" i="68"/>
  <c r="Y241" i="68"/>
  <c r="Y242" i="68"/>
  <c r="Y243" i="68"/>
  <c r="Y244" i="68"/>
  <c r="Y245" i="68"/>
  <c r="Y246" i="68"/>
  <c r="Y247" i="68"/>
  <c r="Y248" i="68"/>
  <c r="Y249" i="68"/>
  <c r="Y253" i="68"/>
  <c r="X237" i="68"/>
  <c r="AJ256" i="68"/>
  <c r="AJ255" i="68"/>
  <c r="AJ254" i="68"/>
  <c r="AJ253" i="68"/>
  <c r="AJ252" i="68"/>
  <c r="AJ251" i="68"/>
  <c r="AJ250" i="68"/>
  <c r="AJ249" i="68"/>
  <c r="AJ248" i="68"/>
  <c r="AJ247" i="68"/>
  <c r="AJ246" i="68"/>
  <c r="AJ245" i="68"/>
  <c r="AJ244" i="68"/>
  <c r="AJ243" i="68"/>
  <c r="AJ242" i="68"/>
  <c r="AJ241" i="68"/>
  <c r="AJ240" i="68"/>
  <c r="AJ239" i="68"/>
  <c r="AJ238" i="68"/>
  <c r="AJ237" i="68"/>
  <c r="X238" i="68"/>
  <c r="X239" i="68"/>
  <c r="X240" i="68"/>
  <c r="X241" i="68"/>
  <c r="X242" i="68"/>
  <c r="X243" i="68"/>
  <c r="X244" i="68"/>
  <c r="X245" i="68"/>
  <c r="X246" i="68"/>
  <c r="X247" i="68"/>
  <c r="X248" i="68"/>
  <c r="X249" i="68"/>
  <c r="X253" i="68"/>
  <c r="V237" i="68"/>
  <c r="V238" i="68"/>
  <c r="V239" i="68"/>
  <c r="V240" i="68"/>
  <c r="V241" i="68"/>
  <c r="V242" i="68"/>
  <c r="V243" i="68"/>
  <c r="V244" i="68"/>
  <c r="V245" i="68"/>
  <c r="V246" i="68"/>
  <c r="V247" i="68"/>
  <c r="V248" i="68"/>
  <c r="V249" i="68"/>
  <c r="V253" i="68"/>
  <c r="U237" i="68"/>
  <c r="U238" i="68"/>
  <c r="U239" i="68"/>
  <c r="U240" i="68"/>
  <c r="U241" i="68"/>
  <c r="U242" i="68"/>
  <c r="U243" i="68"/>
  <c r="U244" i="68"/>
  <c r="U245" i="68"/>
  <c r="U246" i="68"/>
  <c r="U247" i="68"/>
  <c r="U248" i="68"/>
  <c r="U249" i="68"/>
  <c r="U253" i="68"/>
  <c r="Y256" i="68"/>
  <c r="X256" i="68"/>
  <c r="W257" i="68"/>
  <c r="V256" i="68"/>
  <c r="U256" i="68"/>
  <c r="Y216" i="68"/>
  <c r="Y217" i="68"/>
  <c r="Y218" i="68"/>
  <c r="Y219" i="68"/>
  <c r="Y220" i="68"/>
  <c r="Y221" i="68"/>
  <c r="Y222" i="68"/>
  <c r="Y223" i="68"/>
  <c r="Y224" i="68"/>
  <c r="Y225" i="68"/>
  <c r="Y226" i="68"/>
  <c r="Y227" i="68"/>
  <c r="Y228" i="68"/>
  <c r="Y232" i="68"/>
  <c r="X216" i="68"/>
  <c r="AJ235" i="68"/>
  <c r="AJ234" i="68"/>
  <c r="AJ233" i="68"/>
  <c r="AJ232" i="68"/>
  <c r="AJ231" i="68"/>
  <c r="AJ230" i="68"/>
  <c r="AJ229" i="68"/>
  <c r="AJ228" i="68"/>
  <c r="AJ227" i="68"/>
  <c r="AJ226" i="68"/>
  <c r="AJ225" i="68"/>
  <c r="AJ224" i="68"/>
  <c r="AJ223" i="68"/>
  <c r="AJ222" i="68"/>
  <c r="AJ221" i="68"/>
  <c r="AJ220" i="68"/>
  <c r="AJ219" i="68"/>
  <c r="AJ218" i="68"/>
  <c r="AJ217" i="68"/>
  <c r="AJ216" i="68"/>
  <c r="X217" i="68"/>
  <c r="X218" i="68"/>
  <c r="X219" i="68"/>
  <c r="X220" i="68"/>
  <c r="X221" i="68"/>
  <c r="X222" i="68"/>
  <c r="X223" i="68"/>
  <c r="X224" i="68"/>
  <c r="X225" i="68"/>
  <c r="X226" i="68"/>
  <c r="X227" i="68"/>
  <c r="X228" i="68"/>
  <c r="X232" i="68"/>
  <c r="V216" i="68"/>
  <c r="V217" i="68"/>
  <c r="V218" i="68"/>
  <c r="V219" i="68"/>
  <c r="V220" i="68"/>
  <c r="V221" i="68"/>
  <c r="V222" i="68"/>
  <c r="V223" i="68"/>
  <c r="V224" i="68"/>
  <c r="V225" i="68"/>
  <c r="V226" i="68"/>
  <c r="V227" i="68"/>
  <c r="V228" i="68"/>
  <c r="V232" i="68"/>
  <c r="U216" i="68"/>
  <c r="U217" i="68"/>
  <c r="U218" i="68"/>
  <c r="U219" i="68"/>
  <c r="U220" i="68"/>
  <c r="U221" i="68"/>
  <c r="U222" i="68"/>
  <c r="U223" i="68"/>
  <c r="U224" i="68"/>
  <c r="U225" i="68"/>
  <c r="U226" i="68"/>
  <c r="U227" i="68"/>
  <c r="U228" i="68"/>
  <c r="U232" i="68"/>
  <c r="Y235" i="68"/>
  <c r="X235" i="68"/>
  <c r="W236" i="68"/>
  <c r="V235" i="68"/>
  <c r="U235" i="68"/>
  <c r="Y195" i="68"/>
  <c r="Y196" i="68"/>
  <c r="Y197" i="68"/>
  <c r="Y198" i="68"/>
  <c r="Y199" i="68"/>
  <c r="Y200" i="68"/>
  <c r="Y201" i="68"/>
  <c r="Y202" i="68"/>
  <c r="Y203" i="68"/>
  <c r="Y204" i="68"/>
  <c r="Y205" i="68"/>
  <c r="Y206" i="68"/>
  <c r="Y207" i="68"/>
  <c r="Y211" i="68"/>
  <c r="X195" i="68"/>
  <c r="AJ214" i="68"/>
  <c r="AJ213" i="68"/>
  <c r="AJ212" i="68"/>
  <c r="AJ211" i="68"/>
  <c r="AJ210" i="68"/>
  <c r="AJ209" i="68"/>
  <c r="AJ208" i="68"/>
  <c r="AJ207" i="68"/>
  <c r="AJ206" i="68"/>
  <c r="AJ205" i="68"/>
  <c r="AJ204" i="68"/>
  <c r="AJ203" i="68"/>
  <c r="AJ202" i="68"/>
  <c r="AJ201" i="68"/>
  <c r="AJ200" i="68"/>
  <c r="AJ199" i="68"/>
  <c r="AJ198" i="68"/>
  <c r="AJ197" i="68"/>
  <c r="AJ196" i="68"/>
  <c r="AJ195" i="68"/>
  <c r="X196" i="68"/>
  <c r="X197" i="68"/>
  <c r="X198" i="68"/>
  <c r="X199" i="68"/>
  <c r="X200" i="68"/>
  <c r="X201" i="68"/>
  <c r="X202" i="68"/>
  <c r="X203" i="68"/>
  <c r="X204" i="68"/>
  <c r="X205" i="68"/>
  <c r="X206" i="68"/>
  <c r="X207" i="68"/>
  <c r="X211" i="68"/>
  <c r="V195" i="68"/>
  <c r="V196" i="68"/>
  <c r="V197" i="68"/>
  <c r="V198" i="68"/>
  <c r="V199" i="68"/>
  <c r="V200" i="68"/>
  <c r="V201" i="68"/>
  <c r="V202" i="68"/>
  <c r="V203" i="68"/>
  <c r="V204" i="68"/>
  <c r="V205" i="68"/>
  <c r="V206" i="68"/>
  <c r="V207" i="68"/>
  <c r="V211" i="68"/>
  <c r="U195" i="68"/>
  <c r="U196" i="68"/>
  <c r="U197" i="68"/>
  <c r="U198" i="68"/>
  <c r="U199" i="68"/>
  <c r="U200" i="68"/>
  <c r="U201" i="68"/>
  <c r="U202" i="68"/>
  <c r="U203" i="68"/>
  <c r="U204" i="68"/>
  <c r="U205" i="68"/>
  <c r="U206" i="68"/>
  <c r="U207" i="68"/>
  <c r="U211" i="68"/>
  <c r="Y214" i="68"/>
  <c r="X214" i="68"/>
  <c r="W215" i="68"/>
  <c r="V214" i="68"/>
  <c r="U214" i="68"/>
  <c r="Y174" i="68"/>
  <c r="Y175" i="68"/>
  <c r="Y176" i="68"/>
  <c r="Y177" i="68"/>
  <c r="Y178" i="68"/>
  <c r="Y179" i="68"/>
  <c r="Y180" i="68"/>
  <c r="Y181" i="68"/>
  <c r="Y182" i="68"/>
  <c r="Y183" i="68"/>
  <c r="Y184" i="68"/>
  <c r="Y185" i="68"/>
  <c r="Y186" i="68"/>
  <c r="Y190" i="68"/>
  <c r="X174" i="68"/>
  <c r="AJ193" i="68"/>
  <c r="AJ192" i="68"/>
  <c r="AJ191" i="68"/>
  <c r="AJ190" i="68"/>
  <c r="AJ189" i="68"/>
  <c r="AJ188" i="68"/>
  <c r="AJ187" i="68"/>
  <c r="AJ186" i="68"/>
  <c r="AJ185" i="68"/>
  <c r="AJ184" i="68"/>
  <c r="AJ183" i="68"/>
  <c r="AJ182" i="68"/>
  <c r="AJ181" i="68"/>
  <c r="AJ180" i="68"/>
  <c r="AJ179" i="68"/>
  <c r="AJ178" i="68"/>
  <c r="AJ177" i="68"/>
  <c r="AJ176" i="68"/>
  <c r="AJ175" i="68"/>
  <c r="AJ174" i="68"/>
  <c r="X175" i="68"/>
  <c r="X176" i="68"/>
  <c r="X177" i="68"/>
  <c r="X178" i="68"/>
  <c r="X179" i="68"/>
  <c r="X180" i="68"/>
  <c r="X181" i="68"/>
  <c r="X182" i="68"/>
  <c r="X183" i="68"/>
  <c r="X184" i="68"/>
  <c r="X185" i="68"/>
  <c r="X186" i="68"/>
  <c r="X190" i="68"/>
  <c r="V174" i="68"/>
  <c r="V175" i="68"/>
  <c r="V176" i="68"/>
  <c r="V177" i="68"/>
  <c r="V178" i="68"/>
  <c r="V179" i="68"/>
  <c r="V180" i="68"/>
  <c r="V181" i="68"/>
  <c r="V182" i="68"/>
  <c r="V183" i="68"/>
  <c r="V184" i="68"/>
  <c r="V185" i="68"/>
  <c r="V186" i="68"/>
  <c r="V190" i="68"/>
  <c r="U174" i="68"/>
  <c r="U175" i="68"/>
  <c r="U176" i="68"/>
  <c r="U177" i="68"/>
  <c r="U178" i="68"/>
  <c r="U179" i="68"/>
  <c r="U180" i="68"/>
  <c r="U181" i="68"/>
  <c r="U182" i="68"/>
  <c r="U183" i="68"/>
  <c r="U184" i="68"/>
  <c r="U185" i="68"/>
  <c r="U186" i="68"/>
  <c r="U190" i="68"/>
  <c r="Y193" i="68"/>
  <c r="X193" i="68"/>
  <c r="W194" i="68"/>
  <c r="V193" i="68"/>
  <c r="U193" i="68"/>
  <c r="Y153" i="68"/>
  <c r="Y154" i="68"/>
  <c r="Y155" i="68"/>
  <c r="Y156" i="68"/>
  <c r="Y157" i="68"/>
  <c r="Y158" i="68"/>
  <c r="AI158" i="68" s="1"/>
  <c r="Y159" i="68"/>
  <c r="Y160" i="68"/>
  <c r="Y161" i="68"/>
  <c r="Y162" i="68"/>
  <c r="Y163" i="68"/>
  <c r="Y164" i="68"/>
  <c r="Y165" i="68"/>
  <c r="Y169" i="68"/>
  <c r="X153" i="68"/>
  <c r="AJ172" i="68"/>
  <c r="AJ171" i="68"/>
  <c r="AJ170" i="68"/>
  <c r="AJ169" i="68"/>
  <c r="AJ168" i="68"/>
  <c r="AJ167" i="68"/>
  <c r="AJ166" i="68"/>
  <c r="AJ165" i="68"/>
  <c r="AJ164" i="68"/>
  <c r="AJ163" i="68"/>
  <c r="AJ162" i="68"/>
  <c r="AJ161" i="68"/>
  <c r="AJ160" i="68"/>
  <c r="AJ159" i="68"/>
  <c r="AJ158" i="68"/>
  <c r="AJ157" i="68"/>
  <c r="AJ156" i="68"/>
  <c r="AJ155" i="68"/>
  <c r="AJ154" i="68"/>
  <c r="AJ153" i="68"/>
  <c r="X154" i="68"/>
  <c r="X155" i="68"/>
  <c r="X156" i="68"/>
  <c r="X157" i="68"/>
  <c r="X158" i="68"/>
  <c r="X159" i="68"/>
  <c r="X160" i="68"/>
  <c r="X161" i="68"/>
  <c r="X162" i="68"/>
  <c r="X163" i="68"/>
  <c r="X164" i="68"/>
  <c r="X165" i="68"/>
  <c r="X169" i="68"/>
  <c r="V153" i="68"/>
  <c r="V154" i="68"/>
  <c r="V155" i="68"/>
  <c r="V156" i="68"/>
  <c r="V157" i="68"/>
  <c r="V158" i="68"/>
  <c r="V159" i="68"/>
  <c r="V160" i="68"/>
  <c r="V161" i="68"/>
  <c r="V162" i="68"/>
  <c r="V163" i="68"/>
  <c r="V164" i="68"/>
  <c r="V165" i="68"/>
  <c r="V169" i="68"/>
  <c r="U153" i="68"/>
  <c r="U154" i="68"/>
  <c r="U155" i="68"/>
  <c r="U156" i="68"/>
  <c r="U157" i="68"/>
  <c r="U158" i="68"/>
  <c r="U159" i="68"/>
  <c r="U160" i="68"/>
  <c r="U161" i="68"/>
  <c r="U162" i="68"/>
  <c r="U163" i="68"/>
  <c r="U164" i="68"/>
  <c r="U165" i="68"/>
  <c r="U169" i="68"/>
  <c r="Y172" i="68"/>
  <c r="X172" i="68"/>
  <c r="W173" i="68"/>
  <c r="V172" i="68"/>
  <c r="U172" i="68"/>
  <c r="AJ151" i="68"/>
  <c r="AJ150" i="68"/>
  <c r="AJ149" i="68"/>
  <c r="AJ148" i="68"/>
  <c r="AJ147" i="68"/>
  <c r="W152" i="68"/>
  <c r="W131" i="68"/>
  <c r="W110" i="68"/>
  <c r="U195" i="62"/>
  <c r="U216" i="62"/>
  <c r="U237" i="62"/>
  <c r="U258" i="62"/>
  <c r="U279" i="62"/>
  <c r="U196" i="62"/>
  <c r="U217" i="62"/>
  <c r="U238" i="62"/>
  <c r="U259" i="62"/>
  <c r="U280" i="62"/>
  <c r="U198" i="62"/>
  <c r="U219" i="62"/>
  <c r="U240" i="62"/>
  <c r="U261" i="62"/>
  <c r="U282" i="62"/>
  <c r="U197" i="62"/>
  <c r="U218" i="62"/>
  <c r="U239" i="62"/>
  <c r="U260" i="62"/>
  <c r="U281" i="62"/>
  <c r="U200" i="62"/>
  <c r="U221" i="62"/>
  <c r="U242" i="62"/>
  <c r="U263" i="62"/>
  <c r="U284" i="62"/>
  <c r="U201" i="62"/>
  <c r="U222" i="62"/>
  <c r="U243" i="62"/>
  <c r="U264" i="62"/>
  <c r="U285" i="62"/>
  <c r="U202" i="62"/>
  <c r="U223" i="62"/>
  <c r="U244" i="62"/>
  <c r="U265" i="62"/>
  <c r="U286" i="62"/>
  <c r="U203" i="62"/>
  <c r="U224" i="62"/>
  <c r="U245" i="62"/>
  <c r="U266" i="62"/>
  <c r="U287" i="62"/>
  <c r="U207" i="62"/>
  <c r="U228" i="62"/>
  <c r="U249" i="62"/>
  <c r="U270" i="62"/>
  <c r="U291" i="62"/>
  <c r="U205" i="62"/>
  <c r="U226" i="62"/>
  <c r="U247" i="62"/>
  <c r="U268" i="62"/>
  <c r="U289" i="62"/>
  <c r="U204" i="62"/>
  <c r="U225" i="62"/>
  <c r="U246" i="62"/>
  <c r="U267" i="62"/>
  <c r="U288" i="62"/>
  <c r="U214" i="62"/>
  <c r="U235" i="62"/>
  <c r="U256" i="62"/>
  <c r="U277" i="62"/>
  <c r="U298" i="62"/>
  <c r="U206" i="62"/>
  <c r="U227" i="62"/>
  <c r="U248" i="62"/>
  <c r="U269" i="62"/>
  <c r="U290" i="62"/>
  <c r="U210" i="62"/>
  <c r="U231" i="62"/>
  <c r="U252" i="62"/>
  <c r="U273" i="62"/>
  <c r="U294" i="62"/>
  <c r="K152" i="68"/>
  <c r="K131" i="68"/>
  <c r="K110" i="68"/>
  <c r="F110" i="68"/>
  <c r="U199" i="62"/>
  <c r="U208" i="62"/>
  <c r="U209" i="62"/>
  <c r="U211" i="62"/>
  <c r="U220" i="62"/>
  <c r="U229" i="62"/>
  <c r="U230" i="62"/>
  <c r="U232" i="62"/>
  <c r="U241" i="62"/>
  <c r="U250" i="62"/>
  <c r="U251" i="62"/>
  <c r="U253" i="62"/>
  <c r="U262" i="62"/>
  <c r="U271" i="62"/>
  <c r="U272" i="62"/>
  <c r="U274" i="62"/>
  <c r="U283" i="62"/>
  <c r="U292" i="62"/>
  <c r="U293" i="62"/>
  <c r="U295" i="62"/>
  <c r="V195" i="62"/>
  <c r="V196" i="62"/>
  <c r="V197" i="62"/>
  <c r="V198" i="62"/>
  <c r="V199" i="62"/>
  <c r="V200" i="62"/>
  <c r="V201" i="62"/>
  <c r="V202" i="62"/>
  <c r="V203" i="62"/>
  <c r="V204" i="62"/>
  <c r="V205" i="62"/>
  <c r="V206" i="62"/>
  <c r="V207" i="62"/>
  <c r="V208" i="62"/>
  <c r="V209" i="62"/>
  <c r="V210" i="62"/>
  <c r="V211" i="62"/>
  <c r="V214" i="62"/>
  <c r="V216" i="62"/>
  <c r="V217" i="62"/>
  <c r="V218" i="62"/>
  <c r="V219" i="62"/>
  <c r="V220" i="62"/>
  <c r="V221" i="62"/>
  <c r="V222" i="62"/>
  <c r="V223" i="62"/>
  <c r="V224" i="62"/>
  <c r="V225" i="62"/>
  <c r="V226" i="62"/>
  <c r="V227" i="62"/>
  <c r="V228" i="62"/>
  <c r="V229" i="62"/>
  <c r="V230" i="62"/>
  <c r="V231" i="62"/>
  <c r="V232" i="62"/>
  <c r="V235" i="62"/>
  <c r="V237" i="62"/>
  <c r="V238" i="62"/>
  <c r="V239" i="62"/>
  <c r="V240" i="62"/>
  <c r="V241" i="62"/>
  <c r="V242" i="62"/>
  <c r="V243" i="62"/>
  <c r="V244" i="62"/>
  <c r="V245" i="62"/>
  <c r="V246" i="62"/>
  <c r="V247" i="62"/>
  <c r="V248" i="62"/>
  <c r="V249" i="62"/>
  <c r="V250" i="62"/>
  <c r="V251" i="62"/>
  <c r="V252" i="62"/>
  <c r="V253" i="62"/>
  <c r="V256" i="62"/>
  <c r="V258" i="62"/>
  <c r="V259" i="62"/>
  <c r="V260" i="62"/>
  <c r="V261" i="62"/>
  <c r="V262" i="62"/>
  <c r="V263" i="62"/>
  <c r="V264" i="62"/>
  <c r="V265" i="62"/>
  <c r="V266" i="62"/>
  <c r="V267" i="62"/>
  <c r="V268" i="62"/>
  <c r="V269" i="62"/>
  <c r="V270" i="62"/>
  <c r="V271" i="62"/>
  <c r="V272" i="62"/>
  <c r="V273" i="62"/>
  <c r="V274" i="62"/>
  <c r="V277" i="62"/>
  <c r="V279" i="62"/>
  <c r="V280" i="62"/>
  <c r="V281" i="62"/>
  <c r="V282" i="62"/>
  <c r="V283" i="62"/>
  <c r="V284" i="62"/>
  <c r="V285" i="62"/>
  <c r="V286" i="62"/>
  <c r="V287" i="62"/>
  <c r="V288" i="62"/>
  <c r="V289" i="62"/>
  <c r="V290" i="62"/>
  <c r="V291" i="62"/>
  <c r="V292" i="62"/>
  <c r="V293" i="62"/>
  <c r="V294" i="62"/>
  <c r="V295" i="62"/>
  <c r="V298" i="62"/>
  <c r="X195" i="62"/>
  <c r="X196" i="62"/>
  <c r="X197" i="62"/>
  <c r="X198" i="62"/>
  <c r="X199" i="62"/>
  <c r="X200" i="62"/>
  <c r="X201" i="62"/>
  <c r="X202" i="62"/>
  <c r="X203" i="62"/>
  <c r="X204" i="62"/>
  <c r="X205" i="62"/>
  <c r="X206" i="62"/>
  <c r="X207" i="62"/>
  <c r="X208" i="62"/>
  <c r="X209" i="62"/>
  <c r="X210" i="62"/>
  <c r="X211" i="62"/>
  <c r="X214" i="62"/>
  <c r="X216" i="62"/>
  <c r="X217" i="62"/>
  <c r="X218" i="62"/>
  <c r="X219" i="62"/>
  <c r="X220" i="62"/>
  <c r="X221" i="62"/>
  <c r="X222" i="62"/>
  <c r="X223" i="62"/>
  <c r="X224" i="62"/>
  <c r="X225" i="62"/>
  <c r="X226" i="62"/>
  <c r="X227" i="62"/>
  <c r="X228" i="62"/>
  <c r="X229" i="62"/>
  <c r="X230" i="62"/>
  <c r="X231" i="62"/>
  <c r="X232" i="62"/>
  <c r="X235" i="62"/>
  <c r="X237" i="62"/>
  <c r="X238" i="62"/>
  <c r="X239" i="62"/>
  <c r="X240" i="62"/>
  <c r="X241" i="62"/>
  <c r="X242" i="62"/>
  <c r="X243" i="62"/>
  <c r="X244" i="62"/>
  <c r="X245" i="62"/>
  <c r="X246" i="62"/>
  <c r="X247" i="62"/>
  <c r="X248" i="62"/>
  <c r="X249" i="62"/>
  <c r="X250" i="62"/>
  <c r="X251" i="62"/>
  <c r="X252" i="62"/>
  <c r="X253" i="62"/>
  <c r="X256" i="62"/>
  <c r="X258" i="62"/>
  <c r="X259" i="62"/>
  <c r="X260" i="62"/>
  <c r="X261" i="62"/>
  <c r="X262" i="62"/>
  <c r="X263" i="62"/>
  <c r="X264" i="62"/>
  <c r="X265" i="62"/>
  <c r="X266" i="62"/>
  <c r="X267" i="62"/>
  <c r="X268" i="62"/>
  <c r="X269" i="62"/>
  <c r="X270" i="62"/>
  <c r="X271" i="62"/>
  <c r="X272" i="62"/>
  <c r="X273" i="62"/>
  <c r="X274" i="62"/>
  <c r="X277" i="62"/>
  <c r="Y195" i="62"/>
  <c r="Y196" i="62"/>
  <c r="Y197" i="62"/>
  <c r="Y198" i="62"/>
  <c r="Y199" i="62"/>
  <c r="Y200" i="62"/>
  <c r="Y201" i="62"/>
  <c r="Y202" i="62"/>
  <c r="Y203" i="62"/>
  <c r="Y204" i="62"/>
  <c r="Y205" i="62"/>
  <c r="Y206" i="62"/>
  <c r="Y207" i="62"/>
  <c r="Y208" i="62"/>
  <c r="Y209" i="62"/>
  <c r="Y210" i="62"/>
  <c r="Y211" i="62"/>
  <c r="Y214" i="62"/>
  <c r="Y216" i="62"/>
  <c r="Y217" i="62"/>
  <c r="Y218" i="62"/>
  <c r="Y219" i="62"/>
  <c r="Y220" i="62"/>
  <c r="Y221" i="62"/>
  <c r="Y222" i="62"/>
  <c r="Y223" i="62"/>
  <c r="Y224" i="62"/>
  <c r="Y225" i="62"/>
  <c r="Y226" i="62"/>
  <c r="Y227" i="62"/>
  <c r="Y228" i="62"/>
  <c r="Y229" i="62"/>
  <c r="Y230" i="62"/>
  <c r="Y231" i="62"/>
  <c r="Y232" i="62"/>
  <c r="Y235" i="62"/>
  <c r="Y237" i="62"/>
  <c r="Y238" i="62"/>
  <c r="Y239" i="62"/>
  <c r="Y240" i="62"/>
  <c r="Y241" i="62"/>
  <c r="Y242" i="62"/>
  <c r="Y243" i="62"/>
  <c r="Y244" i="62"/>
  <c r="Y245" i="62"/>
  <c r="Y246" i="62"/>
  <c r="Y247" i="62"/>
  <c r="Y248" i="62"/>
  <c r="Y249" i="62"/>
  <c r="Y250" i="62"/>
  <c r="Y251" i="62"/>
  <c r="Y252" i="62"/>
  <c r="Y253" i="62"/>
  <c r="Y256" i="62"/>
  <c r="Y258" i="62"/>
  <c r="Y259" i="62"/>
  <c r="Y260" i="62"/>
  <c r="Y261" i="62"/>
  <c r="Y262" i="62"/>
  <c r="Y263" i="62"/>
  <c r="Y264" i="62"/>
  <c r="Y265" i="62"/>
  <c r="Y266" i="62"/>
  <c r="Y267" i="62"/>
  <c r="Y268" i="62"/>
  <c r="Y269" i="62"/>
  <c r="Y270" i="62"/>
  <c r="Y271" i="62"/>
  <c r="Y272" i="62"/>
  <c r="Y273" i="62"/>
  <c r="Y274" i="62"/>
  <c r="Y277" i="62"/>
  <c r="Y279" i="62"/>
  <c r="Y280" i="62"/>
  <c r="Y281" i="62"/>
  <c r="Y282" i="62"/>
  <c r="Y283" i="62"/>
  <c r="Y284" i="62"/>
  <c r="Y285" i="62"/>
  <c r="Y286" i="62"/>
  <c r="Y287" i="62"/>
  <c r="Y288" i="62"/>
  <c r="Y289" i="62"/>
  <c r="Y290" i="62"/>
  <c r="Y291" i="62"/>
  <c r="Y292" i="62"/>
  <c r="Y293" i="62"/>
  <c r="Y294" i="62"/>
  <c r="Y295" i="62"/>
  <c r="Y298" i="62"/>
  <c r="B181" i="40"/>
  <c r="B204" i="40"/>
  <c r="B227" i="40"/>
  <c r="C181" i="40"/>
  <c r="C204" i="40"/>
  <c r="B184" i="40"/>
  <c r="B207" i="40"/>
  <c r="B230" i="40"/>
  <c r="C184" i="40"/>
  <c r="C207" i="40"/>
  <c r="E184" i="40"/>
  <c r="E207" i="40"/>
  <c r="E230" i="40"/>
  <c r="F184" i="40"/>
  <c r="Q184" i="40" s="1"/>
  <c r="F207" i="40"/>
  <c r="AJ214" i="62"/>
  <c r="AJ213" i="62"/>
  <c r="AJ212" i="62"/>
  <c r="AJ211" i="62"/>
  <c r="AJ210" i="62"/>
  <c r="AJ209" i="62"/>
  <c r="AJ208" i="62"/>
  <c r="AJ207" i="62"/>
  <c r="AJ206" i="62"/>
  <c r="AJ205" i="62"/>
  <c r="AJ204" i="62"/>
  <c r="AJ203" i="62"/>
  <c r="AJ202" i="62"/>
  <c r="AJ201" i="62"/>
  <c r="AJ200" i="62"/>
  <c r="AJ199" i="62"/>
  <c r="AJ198" i="62"/>
  <c r="AJ197" i="62"/>
  <c r="AJ196" i="62"/>
  <c r="AJ195" i="62"/>
  <c r="AJ221" i="62"/>
  <c r="AJ220" i="62"/>
  <c r="AJ219" i="62"/>
  <c r="AJ218" i="62"/>
  <c r="AJ217" i="62"/>
  <c r="AJ216" i="62"/>
  <c r="AJ235" i="62"/>
  <c r="AJ234" i="62"/>
  <c r="AJ233" i="62"/>
  <c r="AJ232" i="62"/>
  <c r="AJ231" i="62"/>
  <c r="AJ230" i="62"/>
  <c r="AJ229" i="62"/>
  <c r="AJ228" i="62"/>
  <c r="AJ227" i="62"/>
  <c r="AJ226" i="62"/>
  <c r="AJ225" i="62"/>
  <c r="AJ224" i="62"/>
  <c r="AJ223" i="62"/>
  <c r="AJ222" i="62"/>
  <c r="AJ256" i="62"/>
  <c r="AJ255" i="62"/>
  <c r="AJ254" i="62"/>
  <c r="AJ253" i="62"/>
  <c r="AJ252" i="62"/>
  <c r="AJ251" i="62"/>
  <c r="AJ250" i="62"/>
  <c r="AJ249" i="62"/>
  <c r="AJ248" i="62"/>
  <c r="AJ247" i="62"/>
  <c r="AJ246" i="62"/>
  <c r="AJ245" i="62"/>
  <c r="AJ244" i="62"/>
  <c r="AJ243" i="62"/>
  <c r="AJ242" i="62"/>
  <c r="AJ241" i="62"/>
  <c r="AJ240" i="62"/>
  <c r="AJ239" i="62"/>
  <c r="AJ238" i="62"/>
  <c r="AJ237" i="62"/>
  <c r="AJ277" i="62"/>
  <c r="AJ276" i="62"/>
  <c r="AJ275" i="62"/>
  <c r="AJ274" i="62"/>
  <c r="AJ273" i="62"/>
  <c r="AJ272" i="62"/>
  <c r="AJ271" i="62"/>
  <c r="AJ270" i="62"/>
  <c r="AJ269" i="62"/>
  <c r="AJ268" i="62"/>
  <c r="AJ267" i="62"/>
  <c r="AJ266" i="62"/>
  <c r="AJ265" i="62"/>
  <c r="AJ264" i="62"/>
  <c r="AJ263" i="62"/>
  <c r="AJ262" i="62"/>
  <c r="AJ261" i="62"/>
  <c r="AJ260" i="62"/>
  <c r="AJ259" i="62"/>
  <c r="AJ258" i="62"/>
  <c r="AJ298" i="62"/>
  <c r="AJ297" i="62"/>
  <c r="AJ296" i="62"/>
  <c r="AJ295" i="62"/>
  <c r="AJ294" i="62"/>
  <c r="AJ293" i="62"/>
  <c r="AJ292" i="62"/>
  <c r="AJ291" i="62"/>
  <c r="AJ290" i="62"/>
  <c r="AJ289" i="62"/>
  <c r="AJ288" i="62"/>
  <c r="AJ287" i="62"/>
  <c r="AJ286" i="62"/>
  <c r="AJ285" i="62"/>
  <c r="AJ284" i="62"/>
  <c r="AJ283" i="62"/>
  <c r="AJ282" i="62"/>
  <c r="AJ281" i="62"/>
  <c r="AJ280" i="62"/>
  <c r="AJ279" i="62"/>
  <c r="AK221" i="62"/>
  <c r="AK220" i="62"/>
  <c r="AK219" i="62"/>
  <c r="AK218" i="62"/>
  <c r="AK217" i="62"/>
  <c r="AK216" i="62"/>
  <c r="AK235" i="62"/>
  <c r="AK234" i="62"/>
  <c r="AK233" i="62"/>
  <c r="AK232" i="62"/>
  <c r="AK231" i="62"/>
  <c r="AK230" i="62"/>
  <c r="AK229" i="62"/>
  <c r="AK228" i="62"/>
  <c r="AK227" i="62"/>
  <c r="AK226" i="62"/>
  <c r="AK225" i="62"/>
  <c r="AK224" i="62"/>
  <c r="AK223" i="62"/>
  <c r="AK222" i="62"/>
  <c r="AK256" i="62"/>
  <c r="AK255" i="62"/>
  <c r="AK254" i="62"/>
  <c r="AK253" i="62"/>
  <c r="AK252" i="62"/>
  <c r="AK251" i="62"/>
  <c r="AK250" i="62"/>
  <c r="AK249" i="62"/>
  <c r="AK248" i="62"/>
  <c r="AK247" i="62"/>
  <c r="AK246" i="62"/>
  <c r="AK245" i="62"/>
  <c r="AK244" i="62"/>
  <c r="AK243" i="62"/>
  <c r="AK242" i="62"/>
  <c r="AK241" i="62"/>
  <c r="AK240" i="62"/>
  <c r="AK239" i="62"/>
  <c r="AK238" i="62"/>
  <c r="AK237" i="62"/>
  <c r="AK277" i="62"/>
  <c r="AK276" i="62"/>
  <c r="AK275" i="62"/>
  <c r="AK274" i="62"/>
  <c r="AK273" i="62"/>
  <c r="AK272" i="62"/>
  <c r="AK271" i="62"/>
  <c r="AK270" i="62"/>
  <c r="AK269" i="62"/>
  <c r="AK268" i="62"/>
  <c r="AK267" i="62"/>
  <c r="AK266" i="62"/>
  <c r="AK265" i="62"/>
  <c r="AK264" i="62"/>
  <c r="AK263" i="62"/>
  <c r="AK262" i="62"/>
  <c r="AK261" i="62"/>
  <c r="AK260" i="62"/>
  <c r="AK259" i="62"/>
  <c r="AK258" i="62"/>
  <c r="AK298" i="62"/>
  <c r="AK297" i="62"/>
  <c r="AK296" i="62"/>
  <c r="AK295" i="62"/>
  <c r="AK294" i="62"/>
  <c r="AK293" i="62"/>
  <c r="AK292" i="62"/>
  <c r="AK291" i="62"/>
  <c r="AK290" i="62"/>
  <c r="AK289" i="62"/>
  <c r="AK288" i="62"/>
  <c r="AK287" i="62"/>
  <c r="AK286" i="62"/>
  <c r="AK285" i="62"/>
  <c r="AK284" i="62"/>
  <c r="AK283" i="62"/>
  <c r="AK282" i="62"/>
  <c r="AK281" i="62"/>
  <c r="AK280" i="62"/>
  <c r="AK279" i="62"/>
  <c r="H204" i="40"/>
  <c r="H207" i="40"/>
  <c r="M203" i="40"/>
  <c r="M204" i="40"/>
  <c r="M207" i="40"/>
  <c r="E172" i="40"/>
  <c r="Q172" i="40" s="1"/>
  <c r="E176" i="40"/>
  <c r="E177" i="40"/>
  <c r="C179" i="40"/>
  <c r="B176" i="40"/>
  <c r="F230" i="40"/>
  <c r="C230" i="40"/>
  <c r="P227" i="40"/>
  <c r="M227" i="40"/>
  <c r="F227" i="40"/>
  <c r="Q227" i="40"/>
  <c r="C227" i="40"/>
  <c r="P226" i="40"/>
  <c r="M226" i="40"/>
  <c r="F158" i="40"/>
  <c r="E158" i="40"/>
  <c r="C158" i="40"/>
  <c r="B158" i="40"/>
  <c r="B92" i="40"/>
  <c r="C92" i="40"/>
  <c r="E92" i="40"/>
  <c r="F92" i="40"/>
  <c r="B115" i="40"/>
  <c r="C115" i="40"/>
  <c r="E115" i="40"/>
  <c r="F115" i="40"/>
  <c r="G115" i="40"/>
  <c r="H115" i="40"/>
  <c r="J115" i="40"/>
  <c r="K115" i="40"/>
  <c r="H161" i="40"/>
  <c r="K161" i="40"/>
  <c r="G161" i="40"/>
  <c r="J161" i="40"/>
  <c r="E160" i="40"/>
  <c r="C160" i="40"/>
  <c r="F160" i="40"/>
  <c r="B160" i="40"/>
  <c r="W26" i="62"/>
  <c r="W47" i="62"/>
  <c r="W68" i="62"/>
  <c r="W89" i="62"/>
  <c r="W110" i="62"/>
  <c r="W131" i="62"/>
  <c r="W152" i="62"/>
  <c r="W173" i="62"/>
  <c r="W194" i="62"/>
  <c r="W257" i="62"/>
  <c r="W278" i="62"/>
  <c r="W299" i="62"/>
  <c r="K194" i="62"/>
  <c r="F194" i="62"/>
  <c r="K152" i="62"/>
  <c r="F152" i="62"/>
  <c r="K131" i="62"/>
  <c r="F131" i="62"/>
  <c r="K110" i="62"/>
  <c r="F110" i="62"/>
  <c r="F257" i="62"/>
  <c r="F278" i="62"/>
  <c r="C206" i="40"/>
  <c r="C205" i="40"/>
  <c r="C202" i="40"/>
  <c r="C198" i="40"/>
  <c r="C196" i="40"/>
  <c r="C193" i="40"/>
  <c r="C192" i="40"/>
  <c r="F206" i="40"/>
  <c r="F198" i="40"/>
  <c r="Q198" i="40" s="1"/>
  <c r="F196" i="40"/>
  <c r="F193" i="40"/>
  <c r="F192" i="40"/>
  <c r="B178" i="40"/>
  <c r="B174" i="40"/>
  <c r="B171" i="40"/>
  <c r="E178" i="40"/>
  <c r="E174" i="40"/>
  <c r="E171" i="40"/>
  <c r="B222" i="40"/>
  <c r="B203" i="40"/>
  <c r="C177" i="40"/>
  <c r="C178" i="40"/>
  <c r="C176" i="40"/>
  <c r="C174" i="40"/>
  <c r="C172" i="40"/>
  <c r="C171" i="40"/>
  <c r="C168" i="40"/>
  <c r="C201" i="40"/>
  <c r="C197" i="40"/>
  <c r="C194" i="40"/>
  <c r="F200" i="40"/>
  <c r="F201" i="40"/>
  <c r="F199" i="40"/>
  <c r="Q199" i="40"/>
  <c r="F197" i="40"/>
  <c r="F195" i="40"/>
  <c r="F194" i="40"/>
  <c r="F191" i="40"/>
  <c r="Q191" i="40" s="1"/>
  <c r="B183" i="40"/>
  <c r="B182" i="40"/>
  <c r="B179" i="40"/>
  <c r="B175" i="40"/>
  <c r="B173" i="40"/>
  <c r="B170" i="40"/>
  <c r="B169" i="40"/>
  <c r="E183" i="40"/>
  <c r="E182" i="40"/>
  <c r="E179" i="40"/>
  <c r="E175" i="40"/>
  <c r="E173" i="40"/>
  <c r="E170" i="40"/>
  <c r="E169" i="40"/>
  <c r="B228" i="40"/>
  <c r="B215" i="40"/>
  <c r="F203" i="40"/>
  <c r="B206" i="40"/>
  <c r="B200" i="40"/>
  <c r="B205" i="40"/>
  <c r="B201" i="40"/>
  <c r="B202" i="40"/>
  <c r="B199" i="40"/>
  <c r="B198" i="40"/>
  <c r="B197" i="40"/>
  <c r="B196" i="40"/>
  <c r="B195" i="40"/>
  <c r="B193" i="40"/>
  <c r="B194" i="40"/>
  <c r="B192" i="40"/>
  <c r="B191" i="40"/>
  <c r="E205" i="40"/>
  <c r="E202" i="40"/>
  <c r="E206" i="40"/>
  <c r="E200" i="40"/>
  <c r="E201" i="40"/>
  <c r="E199" i="40"/>
  <c r="E198" i="40"/>
  <c r="E197" i="40"/>
  <c r="E196" i="40"/>
  <c r="E195" i="40"/>
  <c r="E193" i="40"/>
  <c r="E194" i="40"/>
  <c r="E192" i="40"/>
  <c r="Q192" i="40" s="1"/>
  <c r="E191" i="40"/>
  <c r="E180" i="40"/>
  <c r="Q180" i="40" s="1"/>
  <c r="F172" i="40"/>
  <c r="F168" i="40"/>
  <c r="C88" i="40"/>
  <c r="C91" i="40"/>
  <c r="C90" i="40"/>
  <c r="C87" i="40"/>
  <c r="C83" i="40"/>
  <c r="C81" i="40"/>
  <c r="C78" i="40"/>
  <c r="C77" i="40"/>
  <c r="F76" i="40"/>
  <c r="B76" i="40"/>
  <c r="F84" i="40"/>
  <c r="F91" i="40"/>
  <c r="F85" i="40"/>
  <c r="F90" i="40"/>
  <c r="F86" i="40"/>
  <c r="Q86" i="40" s="1"/>
  <c r="F87" i="40"/>
  <c r="F89" i="40"/>
  <c r="Q89" i="40" s="1"/>
  <c r="F83" i="40"/>
  <c r="F82" i="40"/>
  <c r="F81" i="40"/>
  <c r="F80" i="40"/>
  <c r="Q80" i="40"/>
  <c r="F78" i="40"/>
  <c r="F79" i="40"/>
  <c r="F77" i="40"/>
  <c r="E84" i="40"/>
  <c r="B84" i="40"/>
  <c r="E85" i="40"/>
  <c r="B85" i="40"/>
  <c r="E86" i="40"/>
  <c r="B86" i="40"/>
  <c r="E89" i="40"/>
  <c r="B89" i="40"/>
  <c r="E82" i="40"/>
  <c r="B82" i="40"/>
  <c r="E80" i="40"/>
  <c r="B80" i="40"/>
  <c r="E79" i="40"/>
  <c r="B79" i="40"/>
  <c r="E76" i="40"/>
  <c r="B146" i="40"/>
  <c r="E88" i="40"/>
  <c r="B88" i="40"/>
  <c r="C84" i="40"/>
  <c r="E91" i="40"/>
  <c r="Q91" i="40" s="1"/>
  <c r="B91" i="40"/>
  <c r="C85" i="40"/>
  <c r="E90" i="40"/>
  <c r="Q90" i="40" s="1"/>
  <c r="B90" i="40"/>
  <c r="C86" i="40"/>
  <c r="E87" i="40"/>
  <c r="B87" i="40"/>
  <c r="C89" i="40"/>
  <c r="E83" i="40"/>
  <c r="B83" i="40"/>
  <c r="C82" i="40"/>
  <c r="E81" i="40"/>
  <c r="B81" i="40"/>
  <c r="C80" i="40"/>
  <c r="E78" i="40"/>
  <c r="B78" i="40"/>
  <c r="C79" i="40"/>
  <c r="E77" i="40"/>
  <c r="B77" i="40"/>
  <c r="C76" i="40"/>
  <c r="B114" i="40"/>
  <c r="B113" i="40"/>
  <c r="B110" i="40"/>
  <c r="B106" i="40"/>
  <c r="B104" i="40"/>
  <c r="B101" i="40"/>
  <c r="B100" i="40"/>
  <c r="C114" i="40"/>
  <c r="C113" i="40"/>
  <c r="C110" i="40"/>
  <c r="C106" i="40"/>
  <c r="C104" i="40"/>
  <c r="C101" i="40"/>
  <c r="C100" i="40"/>
  <c r="E114" i="40"/>
  <c r="E113" i="40"/>
  <c r="E110" i="40"/>
  <c r="E106" i="40"/>
  <c r="E104" i="40"/>
  <c r="E101" i="40"/>
  <c r="E100" i="40"/>
  <c r="Q100" i="40" s="1"/>
  <c r="F114" i="40"/>
  <c r="F113" i="40"/>
  <c r="F110" i="40"/>
  <c r="F106" i="40"/>
  <c r="Q106" i="40" s="1"/>
  <c r="F104" i="40"/>
  <c r="F101" i="40"/>
  <c r="F100" i="40"/>
  <c r="F144" i="40"/>
  <c r="E111" i="40"/>
  <c r="B111" i="40"/>
  <c r="C146" i="40"/>
  <c r="F88" i="40"/>
  <c r="C111" i="40"/>
  <c r="B134" i="40"/>
  <c r="E134" i="40"/>
  <c r="E157" i="40"/>
  <c r="F157" i="40"/>
  <c r="B154" i="40"/>
  <c r="B155" i="40"/>
  <c r="B153" i="40"/>
  <c r="B151" i="40"/>
  <c r="B149" i="40"/>
  <c r="B148" i="40"/>
  <c r="B145" i="40"/>
  <c r="C154" i="40"/>
  <c r="C155" i="40"/>
  <c r="C153" i="40"/>
  <c r="C151" i="40"/>
  <c r="C149" i="40"/>
  <c r="C148" i="40"/>
  <c r="C145" i="40"/>
  <c r="E154" i="40"/>
  <c r="E155" i="40"/>
  <c r="E153" i="40"/>
  <c r="E151" i="40"/>
  <c r="E149" i="40"/>
  <c r="E148" i="40"/>
  <c r="E145" i="40"/>
  <c r="Q145" i="40"/>
  <c r="F154" i="40"/>
  <c r="F155" i="40"/>
  <c r="Q155" i="40" s="1"/>
  <c r="F153" i="40"/>
  <c r="F151" i="40"/>
  <c r="F149" i="40"/>
  <c r="Q149" i="40" s="1"/>
  <c r="F148" i="40"/>
  <c r="F145" i="40"/>
  <c r="C134" i="40"/>
  <c r="F134" i="40"/>
  <c r="C144" i="40"/>
  <c r="B144" i="40"/>
  <c r="G202" i="40"/>
  <c r="L202" i="40"/>
  <c r="G196" i="40"/>
  <c r="G192" i="40"/>
  <c r="L192" i="40"/>
  <c r="J206" i="40"/>
  <c r="J205" i="40"/>
  <c r="J198" i="40"/>
  <c r="J193" i="40"/>
  <c r="J199" i="40"/>
  <c r="G195" i="40"/>
  <c r="G200" i="40"/>
  <c r="J183" i="40"/>
  <c r="G180" i="40"/>
  <c r="G203" i="40"/>
  <c r="G206" i="40"/>
  <c r="G205" i="40"/>
  <c r="G198" i="40"/>
  <c r="G193" i="40"/>
  <c r="J202" i="40"/>
  <c r="J196" i="40"/>
  <c r="J192" i="40"/>
  <c r="J195" i="40"/>
  <c r="J200" i="40"/>
  <c r="G191" i="40"/>
  <c r="G199" i="40"/>
  <c r="J173" i="40"/>
  <c r="J180" i="40"/>
  <c r="G170" i="40"/>
  <c r="G182" i="40"/>
  <c r="J203" i="40"/>
  <c r="C215" i="40"/>
  <c r="C216" i="40"/>
  <c r="C218" i="40"/>
  <c r="C220" i="40"/>
  <c r="C222" i="40"/>
  <c r="C224" i="40"/>
  <c r="C214" i="40"/>
  <c r="O131" i="40"/>
  <c r="F132" i="40"/>
  <c r="F128" i="40"/>
  <c r="F125" i="40"/>
  <c r="Q125" i="40" s="1"/>
  <c r="P128" i="40"/>
  <c r="K151" i="40"/>
  <c r="P132" i="40"/>
  <c r="K132" i="40"/>
  <c r="K125" i="40"/>
  <c r="J123" i="40"/>
  <c r="J126" i="40"/>
  <c r="M130" i="40"/>
  <c r="H130" i="40"/>
  <c r="G131" i="40"/>
  <c r="J113" i="40"/>
  <c r="K79" i="40"/>
  <c r="K80" i="40"/>
  <c r="K82" i="40"/>
  <c r="K86" i="40"/>
  <c r="K85" i="40"/>
  <c r="P84" i="40"/>
  <c r="K84" i="40"/>
  <c r="G110" i="40"/>
  <c r="J104" i="40"/>
  <c r="J107" i="40"/>
  <c r="J108" i="40"/>
  <c r="J103" i="40"/>
  <c r="B121" i="40"/>
  <c r="G134" i="40"/>
  <c r="G129" i="40"/>
  <c r="G124" i="40"/>
  <c r="J129" i="40"/>
  <c r="J124" i="40"/>
  <c r="O124" i="40"/>
  <c r="L124" i="40"/>
  <c r="K107" i="40"/>
  <c r="K108" i="40"/>
  <c r="K103" i="40"/>
  <c r="P108" i="40"/>
  <c r="H88" i="40"/>
  <c r="K145" i="40"/>
  <c r="P149" i="40"/>
  <c r="K149" i="40"/>
  <c r="K153" i="40"/>
  <c r="K154" i="40"/>
  <c r="H148" i="40"/>
  <c r="H151" i="40"/>
  <c r="H155" i="40"/>
  <c r="P130" i="40"/>
  <c r="K130" i="40"/>
  <c r="P126" i="40"/>
  <c r="K126" i="40"/>
  <c r="J122" i="40"/>
  <c r="O130" i="40"/>
  <c r="J130" i="40"/>
  <c r="L133" i="40"/>
  <c r="G133" i="40"/>
  <c r="L127" i="40"/>
  <c r="G127" i="40"/>
  <c r="G123" i="40"/>
  <c r="O133" i="40"/>
  <c r="J133" i="40"/>
  <c r="J127" i="40"/>
  <c r="K77" i="40"/>
  <c r="P78" i="40"/>
  <c r="K78" i="40"/>
  <c r="P81" i="40"/>
  <c r="K81" i="40"/>
  <c r="P83" i="40"/>
  <c r="K83" i="40"/>
  <c r="P87" i="40"/>
  <c r="K87" i="40"/>
  <c r="P90" i="40"/>
  <c r="K90" i="40"/>
  <c r="K91" i="40"/>
  <c r="P77" i="40"/>
  <c r="C121" i="40"/>
  <c r="H103" i="40"/>
  <c r="J134" i="40"/>
  <c r="J125" i="40"/>
  <c r="O129" i="40"/>
  <c r="L129" i="40"/>
  <c r="J106" i="40"/>
  <c r="J101" i="40"/>
  <c r="K109" i="40"/>
  <c r="K105" i="40"/>
  <c r="K102" i="40"/>
  <c r="J109" i="40"/>
  <c r="J105" i="40"/>
  <c r="J102" i="40"/>
  <c r="M103" i="40"/>
  <c r="P105" i="40"/>
  <c r="P109" i="40"/>
  <c r="O102" i="40"/>
  <c r="L123" i="40"/>
  <c r="O122" i="40"/>
  <c r="P125" i="40"/>
  <c r="P86" i="40"/>
  <c r="P82" i="40"/>
  <c r="P79" i="40"/>
  <c r="P80" i="40"/>
  <c r="P85" i="40"/>
  <c r="O123" i="40"/>
  <c r="J131" i="40"/>
  <c r="K128" i="40"/>
  <c r="K155" i="40"/>
  <c r="F218" i="40"/>
  <c r="F220" i="40"/>
  <c r="Q220" i="40" s="1"/>
  <c r="C169" i="40"/>
  <c r="L131" i="40"/>
  <c r="L85" i="40"/>
  <c r="L87" i="40"/>
  <c r="L89" i="40"/>
  <c r="L82" i="40"/>
  <c r="L80" i="40"/>
  <c r="L78" i="40"/>
  <c r="G88" i="40"/>
  <c r="B75" i="40"/>
  <c r="G111" i="40"/>
  <c r="L102" i="40"/>
  <c r="E121" i="40"/>
  <c r="G126" i="40"/>
  <c r="E125" i="40"/>
  <c r="H134" i="40"/>
  <c r="O160" i="40"/>
  <c r="J156" i="40"/>
  <c r="O150" i="40"/>
  <c r="K159" i="40"/>
  <c r="K150" i="40"/>
  <c r="K146" i="40"/>
  <c r="K156" i="40"/>
  <c r="P147" i="40"/>
  <c r="H160" i="40"/>
  <c r="H146" i="40"/>
  <c r="J112" i="40"/>
  <c r="G113" i="40"/>
  <c r="H152" i="40"/>
  <c r="G146" i="40"/>
  <c r="O132" i="40"/>
  <c r="J132" i="40"/>
  <c r="P145" i="40"/>
  <c r="G102" i="40"/>
  <c r="G78" i="40"/>
  <c r="L81" i="40"/>
  <c r="G81" i="40"/>
  <c r="L83" i="40"/>
  <c r="G83" i="40"/>
  <c r="G87" i="40"/>
  <c r="G77" i="40"/>
  <c r="P112" i="40"/>
  <c r="K112" i="40"/>
  <c r="O113" i="40"/>
  <c r="M150" i="40"/>
  <c r="H156" i="40"/>
  <c r="K152" i="40"/>
  <c r="P159" i="40"/>
  <c r="O147" i="40"/>
  <c r="J147" i="40"/>
  <c r="J159" i="40"/>
  <c r="J160" i="40"/>
  <c r="L130" i="40"/>
  <c r="G130" i="40"/>
  <c r="H102" i="40"/>
  <c r="J111" i="40"/>
  <c r="G80" i="40"/>
  <c r="G82" i="40"/>
  <c r="G89" i="40"/>
  <c r="G86" i="40"/>
  <c r="G85" i="40"/>
  <c r="L84" i="40"/>
  <c r="G84" i="40"/>
  <c r="K157" i="40"/>
  <c r="M102" i="40"/>
  <c r="L77" i="40"/>
  <c r="L126" i="40"/>
  <c r="P89" i="40"/>
  <c r="L113" i="40"/>
  <c r="O112" i="40"/>
  <c r="C191" i="40"/>
  <c r="C195" i="40"/>
  <c r="C199" i="40"/>
  <c r="C200" i="40"/>
  <c r="L205" i="40"/>
  <c r="B190" i="40"/>
  <c r="L191" i="40"/>
  <c r="E190" i="40"/>
  <c r="Q190" i="40" s="1"/>
  <c r="E203" i="40"/>
  <c r="F176" i="40"/>
  <c r="F180" i="40"/>
  <c r="B172" i="40"/>
  <c r="B168" i="40"/>
  <c r="C183" i="40"/>
  <c r="F174" i="40"/>
  <c r="Q174" i="40" s="1"/>
  <c r="F183" i="40"/>
  <c r="J179" i="40"/>
  <c r="F171" i="40"/>
  <c r="F177" i="40"/>
  <c r="Q177" i="40"/>
  <c r="B180" i="40"/>
  <c r="F169" i="40"/>
  <c r="Q169" i="40" s="1"/>
  <c r="F170" i="40"/>
  <c r="F173" i="40"/>
  <c r="Q173" i="40"/>
  <c r="F175" i="40"/>
  <c r="Q175" i="40" s="1"/>
  <c r="C182" i="40"/>
  <c r="C173" i="40"/>
  <c r="C170" i="40"/>
  <c r="B167" i="40"/>
  <c r="F182" i="40"/>
  <c r="F179" i="40"/>
  <c r="Q179" i="40" s="1"/>
  <c r="F178" i="40"/>
  <c r="Q178" i="40" s="1"/>
  <c r="J182" i="40"/>
  <c r="J175" i="40"/>
  <c r="L225" i="40"/>
  <c r="E224" i="40"/>
  <c r="B218" i="40"/>
  <c r="B226" i="40"/>
  <c r="B216" i="40"/>
  <c r="B223" i="40"/>
  <c r="B220" i="40"/>
  <c r="B214" i="40"/>
  <c r="J221" i="40"/>
  <c r="B217" i="40"/>
  <c r="E216" i="40"/>
  <c r="E218" i="40"/>
  <c r="E220" i="40"/>
  <c r="E229" i="40"/>
  <c r="B229" i="40"/>
  <c r="B221" i="40"/>
  <c r="B219" i="40"/>
  <c r="G221" i="40"/>
  <c r="G218" i="40"/>
  <c r="G220" i="40"/>
  <c r="B224" i="40"/>
  <c r="E214" i="40"/>
  <c r="E222" i="40"/>
  <c r="E226" i="40"/>
  <c r="B225" i="40"/>
  <c r="H223" i="40"/>
  <c r="J222" i="40"/>
  <c r="E215" i="40"/>
  <c r="E217" i="40"/>
  <c r="E219" i="40"/>
  <c r="E221" i="40"/>
  <c r="E223" i="40"/>
  <c r="E225" i="40"/>
  <c r="Q225" i="40" s="1"/>
  <c r="E228" i="40"/>
  <c r="L218" i="40"/>
  <c r="O228" i="40"/>
  <c r="G225" i="40"/>
  <c r="G223" i="40"/>
  <c r="O220" i="40"/>
  <c r="O218" i="40"/>
  <c r="J217" i="40"/>
  <c r="O216" i="40"/>
  <c r="C219" i="40"/>
  <c r="C221" i="40"/>
  <c r="C223" i="40"/>
  <c r="C225" i="40"/>
  <c r="C226" i="40"/>
  <c r="C228" i="40"/>
  <c r="C229" i="40"/>
  <c r="B213" i="40"/>
  <c r="F219" i="40"/>
  <c r="K216" i="40"/>
  <c r="F215" i="40"/>
  <c r="F217" i="40"/>
  <c r="F221" i="40"/>
  <c r="F223" i="40"/>
  <c r="Q223" i="40"/>
  <c r="F225" i="40"/>
  <c r="F226" i="40"/>
  <c r="Q226" i="40" s="1"/>
  <c r="F229" i="40"/>
  <c r="J215" i="40"/>
  <c r="C217" i="40"/>
  <c r="E213" i="40"/>
  <c r="J226" i="40"/>
  <c r="F224" i="40"/>
  <c r="F214" i="40"/>
  <c r="F216" i="40"/>
  <c r="Q216" i="40" s="1"/>
  <c r="F228" i="40"/>
  <c r="Q228" i="40" s="1"/>
  <c r="F222" i="40"/>
  <c r="Q222" i="40" s="1"/>
  <c r="C213" i="40"/>
  <c r="L228" i="40"/>
  <c r="G228" i="40"/>
  <c r="L221" i="40"/>
  <c r="H219" i="40"/>
  <c r="K229" i="40"/>
  <c r="J219" i="40"/>
  <c r="M223" i="40"/>
  <c r="J214" i="40"/>
  <c r="J220" i="40"/>
  <c r="J216" i="40"/>
  <c r="J218" i="40"/>
  <c r="L215" i="40"/>
  <c r="L217" i="40"/>
  <c r="L223" i="40"/>
  <c r="J228" i="40"/>
  <c r="M228" i="40"/>
  <c r="G229" i="40"/>
  <c r="O214" i="40"/>
  <c r="G215" i="40"/>
  <c r="O221" i="40"/>
  <c r="O219" i="40"/>
  <c r="L199" i="40"/>
  <c r="L206" i="40"/>
  <c r="L196" i="40"/>
  <c r="F202" i="40"/>
  <c r="O193" i="40"/>
  <c r="O192" i="40"/>
  <c r="O196" i="40"/>
  <c r="L198" i="40"/>
  <c r="O200" i="40"/>
  <c r="L195" i="40"/>
  <c r="L200" i="40"/>
  <c r="F205" i="40"/>
  <c r="O198" i="40"/>
  <c r="O206" i="40"/>
  <c r="O205" i="40"/>
  <c r="O199" i="40"/>
  <c r="C203" i="40"/>
  <c r="L193" i="40"/>
  <c r="O202" i="40"/>
  <c r="O195" i="40"/>
  <c r="C175" i="40"/>
  <c r="L169" i="40"/>
  <c r="G183" i="40"/>
  <c r="G175" i="40"/>
  <c r="G179" i="40"/>
  <c r="G169" i="40"/>
  <c r="L175" i="40"/>
  <c r="L182" i="40"/>
  <c r="L183" i="40"/>
  <c r="O183" i="40"/>
  <c r="L173" i="40"/>
  <c r="L179" i="40"/>
  <c r="L170" i="40"/>
  <c r="O170" i="40"/>
  <c r="O175" i="40"/>
  <c r="O182" i="40"/>
  <c r="G173" i="40"/>
  <c r="J170" i="40"/>
  <c r="O173" i="40"/>
  <c r="O179" i="40"/>
  <c r="C180" i="40"/>
  <c r="B177" i="40"/>
  <c r="E168" i="40"/>
  <c r="Q168" i="40"/>
  <c r="M225" i="40"/>
  <c r="M151" i="40"/>
  <c r="P107" i="40"/>
  <c r="O103" i="40"/>
  <c r="L110" i="40"/>
  <c r="P154" i="40"/>
  <c r="O105" i="40"/>
  <c r="M153" i="40"/>
  <c r="O104" i="40"/>
  <c r="H154" i="40"/>
  <c r="H149" i="40"/>
  <c r="K148" i="40"/>
  <c r="K226" i="40"/>
  <c r="C190" i="40"/>
  <c r="J197" i="40"/>
  <c r="K195" i="40"/>
  <c r="M201" i="40"/>
  <c r="H194" i="40"/>
  <c r="C75" i="40"/>
  <c r="L79" i="40"/>
  <c r="M107" i="40"/>
  <c r="M109" i="40"/>
  <c r="C126" i="40"/>
  <c r="E128" i="40"/>
  <c r="M129" i="40"/>
  <c r="L149" i="40"/>
  <c r="O154" i="40"/>
  <c r="F146" i="40"/>
  <c r="Q146" i="40"/>
  <c r="G157" i="40"/>
  <c r="G160" i="40"/>
  <c r="L159" i="40"/>
  <c r="J145" i="40"/>
  <c r="L150" i="40"/>
  <c r="G150" i="40"/>
  <c r="L156" i="40"/>
  <c r="G156" i="40"/>
  <c r="J148" i="40"/>
  <c r="O151" i="40"/>
  <c r="J151" i="40"/>
  <c r="O155" i="40"/>
  <c r="J155" i="40"/>
  <c r="G145" i="40"/>
  <c r="L153" i="40"/>
  <c r="G153" i="40"/>
  <c r="K127" i="40"/>
  <c r="P133" i="40"/>
  <c r="K133" i="40"/>
  <c r="H127" i="40"/>
  <c r="M133" i="40"/>
  <c r="H105" i="40"/>
  <c r="H109" i="40"/>
  <c r="G112" i="40"/>
  <c r="L108" i="40"/>
  <c r="G108" i="40"/>
  <c r="L107" i="40"/>
  <c r="G107" i="40"/>
  <c r="J110" i="40"/>
  <c r="L101" i="40"/>
  <c r="G101" i="40"/>
  <c r="J88" i="40"/>
  <c r="H201" i="40"/>
  <c r="O201" i="40"/>
  <c r="J201" i="40"/>
  <c r="G197" i="40"/>
  <c r="K193" i="40"/>
  <c r="K205" i="40"/>
  <c r="H192" i="40"/>
  <c r="M202" i="40"/>
  <c r="H202" i="40"/>
  <c r="H203" i="40"/>
  <c r="P224" i="40"/>
  <c r="K224" i="40"/>
  <c r="K215" i="40"/>
  <c r="K217" i="40"/>
  <c r="P219" i="40"/>
  <c r="K219" i="40"/>
  <c r="K221" i="40"/>
  <c r="P225" i="40"/>
  <c r="O222" i="40"/>
  <c r="L152" i="40"/>
  <c r="G152" i="40"/>
  <c r="L160" i="40"/>
  <c r="O153" i="40"/>
  <c r="J153" i="40"/>
  <c r="L148" i="40"/>
  <c r="G148" i="40"/>
  <c r="L151" i="40"/>
  <c r="G151" i="40"/>
  <c r="L155" i="40"/>
  <c r="G155" i="40"/>
  <c r="P124" i="40"/>
  <c r="K124" i="40"/>
  <c r="P129" i="40"/>
  <c r="K129" i="40"/>
  <c r="H124" i="40"/>
  <c r="H129" i="40"/>
  <c r="H131" i="40"/>
  <c r="K134" i="40"/>
  <c r="M112" i="40"/>
  <c r="H112" i="40"/>
  <c r="M108" i="40"/>
  <c r="H108" i="40"/>
  <c r="H107" i="40"/>
  <c r="L109" i="40"/>
  <c r="G109" i="40"/>
  <c r="L100" i="40"/>
  <c r="G100" i="40"/>
  <c r="L104" i="40"/>
  <c r="G104" i="40"/>
  <c r="P206" i="40"/>
  <c r="K206" i="40"/>
  <c r="M196" i="40"/>
  <c r="H196" i="40"/>
  <c r="H226" i="40"/>
  <c r="K223" i="40"/>
  <c r="H215" i="40"/>
  <c r="H217" i="40"/>
  <c r="O110" i="40"/>
  <c r="M131" i="40"/>
  <c r="P193" i="40"/>
  <c r="M127" i="40"/>
  <c r="O148" i="40"/>
  <c r="M192" i="40"/>
  <c r="L112" i="40"/>
  <c r="O145" i="40"/>
  <c r="M105" i="40"/>
  <c r="P205" i="40"/>
  <c r="O215" i="40"/>
  <c r="M219" i="40"/>
  <c r="L220" i="40"/>
  <c r="P223" i="40"/>
  <c r="M217" i="40"/>
  <c r="M215" i="40"/>
  <c r="M156" i="40"/>
  <c r="P150" i="40"/>
  <c r="P217" i="40"/>
  <c r="O217" i="40"/>
  <c r="M229" i="40"/>
  <c r="P221" i="40"/>
  <c r="O197" i="40"/>
  <c r="P195" i="40"/>
  <c r="M194" i="40"/>
  <c r="L90" i="40"/>
  <c r="L145" i="40"/>
  <c r="M145" i="40"/>
  <c r="H133" i="40"/>
  <c r="H220" i="40"/>
  <c r="H228" i="40"/>
  <c r="J223" i="40"/>
  <c r="J229" i="40"/>
  <c r="H216" i="40"/>
  <c r="G217" i="40"/>
  <c r="G214" i="40"/>
  <c r="J224" i="40"/>
  <c r="H159" i="40"/>
  <c r="H147" i="40"/>
  <c r="G90" i="40"/>
  <c r="P153" i="40"/>
  <c r="M149" i="40"/>
  <c r="M154" i="40"/>
  <c r="O108" i="40"/>
  <c r="O107" i="40"/>
  <c r="P148" i="40"/>
  <c r="P155" i="40"/>
  <c r="M148" i="40"/>
  <c r="M155" i="40"/>
  <c r="O109" i="40"/>
  <c r="H153" i="40"/>
  <c r="F190" i="40"/>
  <c r="K203" i="40"/>
  <c r="K199" i="40"/>
  <c r="F167" i="40"/>
  <c r="G174" i="40"/>
  <c r="G172" i="40"/>
  <c r="L176" i="40"/>
  <c r="C167" i="40"/>
  <c r="J174" i="40"/>
  <c r="P173" i="40"/>
  <c r="M173" i="40"/>
  <c r="K171" i="40"/>
  <c r="K174" i="40"/>
  <c r="K178" i="40"/>
  <c r="F121" i="40"/>
  <c r="Q121" i="40" s="1"/>
  <c r="E144" i="40"/>
  <c r="L91" i="40"/>
  <c r="G137" i="40"/>
  <c r="H136" i="40"/>
  <c r="P179" i="40"/>
  <c r="G136" i="40"/>
  <c r="K99" i="40"/>
  <c r="K114" i="40"/>
  <c r="M106" i="40"/>
  <c r="H106" i="40"/>
  <c r="M114" i="40"/>
  <c r="H114" i="40"/>
  <c r="P101" i="40"/>
  <c r="K101" i="40"/>
  <c r="M175" i="40"/>
  <c r="H175" i="40"/>
  <c r="K136" i="40"/>
  <c r="G91" i="40"/>
  <c r="J114" i="40"/>
  <c r="G154" i="40"/>
  <c r="P123" i="40"/>
  <c r="K123" i="40"/>
  <c r="K122" i="40"/>
  <c r="M132" i="40"/>
  <c r="H132" i="40"/>
  <c r="L125" i="40"/>
  <c r="G125" i="40"/>
  <c r="L132" i="40"/>
  <c r="G132" i="40"/>
  <c r="P110" i="40"/>
  <c r="K110" i="40"/>
  <c r="H100" i="40"/>
  <c r="M104" i="40"/>
  <c r="H104" i="40"/>
  <c r="M110" i="40"/>
  <c r="H110" i="40"/>
  <c r="K111" i="40"/>
  <c r="P104" i="40"/>
  <c r="K104" i="40"/>
  <c r="O91" i="40"/>
  <c r="J91" i="40"/>
  <c r="M179" i="40"/>
  <c r="H179" i="40"/>
  <c r="H173" i="40"/>
  <c r="H169" i="40"/>
  <c r="J178" i="40"/>
  <c r="J171" i="40"/>
  <c r="L178" i="40"/>
  <c r="G178" i="40"/>
  <c r="P176" i="40"/>
  <c r="K176" i="40"/>
  <c r="M177" i="40"/>
  <c r="H177" i="40"/>
  <c r="M176" i="40"/>
  <c r="H176" i="40"/>
  <c r="G168" i="40"/>
  <c r="O177" i="40"/>
  <c r="O172" i="40"/>
  <c r="J172" i="40"/>
  <c r="L174" i="40"/>
  <c r="E167" i="40"/>
  <c r="P200" i="40"/>
  <c r="K200" i="40"/>
  <c r="G201" i="40"/>
  <c r="M200" i="40"/>
  <c r="H200" i="40"/>
  <c r="P196" i="40"/>
  <c r="K196" i="40"/>
  <c r="P174" i="40"/>
  <c r="O174" i="40"/>
  <c r="M220" i="40"/>
  <c r="J90" i="40"/>
  <c r="O90" i="40"/>
  <c r="J146" i="40"/>
  <c r="H126" i="40"/>
  <c r="M128" i="40"/>
  <c r="H128" i="40"/>
  <c r="G122" i="40"/>
  <c r="L128" i="40"/>
  <c r="G128" i="40"/>
  <c r="K113" i="40"/>
  <c r="M113" i="40"/>
  <c r="H113" i="40"/>
  <c r="P106" i="40"/>
  <c r="K106" i="40"/>
  <c r="K168" i="40"/>
  <c r="M170" i="40"/>
  <c r="H170" i="40"/>
  <c r="G171" i="40"/>
  <c r="M178" i="40"/>
  <c r="H178" i="40"/>
  <c r="M174" i="40"/>
  <c r="H174" i="40"/>
  <c r="H171" i="40"/>
  <c r="K180" i="40"/>
  <c r="K179" i="40"/>
  <c r="K173" i="40"/>
  <c r="K169" i="40"/>
  <c r="L177" i="40"/>
  <c r="J176" i="40"/>
  <c r="O176" i="40"/>
  <c r="P201" i="40"/>
  <c r="K201" i="40"/>
  <c r="G194" i="40"/>
  <c r="M199" i="40"/>
  <c r="H199" i="40"/>
  <c r="P197" i="40"/>
  <c r="K197" i="40"/>
  <c r="H195" i="40"/>
  <c r="P202" i="40"/>
  <c r="K202" i="40"/>
  <c r="P222" i="40"/>
  <c r="K222" i="40"/>
  <c r="K214" i="40"/>
  <c r="O178" i="40"/>
  <c r="P214" i="40"/>
  <c r="K144" i="40"/>
  <c r="L214" i="40"/>
  <c r="J136" i="40"/>
  <c r="H218" i="40"/>
  <c r="M195" i="40"/>
  <c r="L122" i="40"/>
  <c r="O146" i="40"/>
  <c r="L168" i="40"/>
  <c r="M100" i="40"/>
  <c r="P199" i="40"/>
  <c r="L194" i="40"/>
  <c r="L171" i="40"/>
  <c r="L136" i="40"/>
  <c r="L201" i="40"/>
  <c r="M169" i="40"/>
  <c r="P122" i="40"/>
  <c r="L154" i="40"/>
  <c r="P136" i="40"/>
  <c r="P99" i="40"/>
  <c r="O171" i="40"/>
  <c r="P169" i="40"/>
  <c r="O136" i="40"/>
  <c r="P168" i="40"/>
  <c r="M171" i="40"/>
  <c r="O114" i="40"/>
  <c r="M101" i="40"/>
  <c r="O149" i="40"/>
  <c r="P127" i="40"/>
  <c r="G177" i="40"/>
  <c r="J177" i="40"/>
  <c r="H180" i="40"/>
  <c r="P178" i="40"/>
  <c r="L147" i="40"/>
  <c r="H101" i="40"/>
  <c r="G176" i="40"/>
  <c r="L106" i="40"/>
  <c r="G159" i="40"/>
  <c r="G121" i="40"/>
  <c r="G79" i="40"/>
  <c r="G106" i="40"/>
  <c r="H123" i="40"/>
  <c r="G149" i="40"/>
  <c r="L229" i="40"/>
  <c r="G226" i="40"/>
  <c r="G219" i="40"/>
  <c r="L222" i="40"/>
  <c r="G222" i="40"/>
  <c r="G224" i="40"/>
  <c r="J154" i="40"/>
  <c r="G147" i="40"/>
  <c r="G114" i="40"/>
  <c r="O224" i="40"/>
  <c r="J213" i="40"/>
  <c r="O223" i="40"/>
  <c r="J225" i="40"/>
  <c r="H221" i="40"/>
  <c r="H214" i="40"/>
  <c r="P113" i="40"/>
  <c r="J149" i="40"/>
  <c r="K225" i="40"/>
  <c r="K228" i="40"/>
  <c r="G216" i="40"/>
  <c r="P215" i="40"/>
  <c r="H229" i="40"/>
  <c r="L224" i="40"/>
  <c r="L86" i="40"/>
  <c r="O159" i="40"/>
  <c r="P152" i="40"/>
  <c r="M152" i="40"/>
  <c r="P160" i="40"/>
  <c r="M159" i="40"/>
  <c r="L146" i="40"/>
  <c r="O152" i="40"/>
  <c r="P229" i="40"/>
  <c r="F213" i="40"/>
  <c r="Q213" i="40" s="1"/>
  <c r="H225" i="40"/>
  <c r="M147" i="40"/>
  <c r="H145" i="40"/>
  <c r="P103" i="40"/>
  <c r="G190" i="40"/>
  <c r="K160" i="40"/>
  <c r="K147" i="40"/>
  <c r="J150" i="40"/>
  <c r="K89" i="40"/>
  <c r="M160" i="40"/>
  <c r="P156" i="40"/>
  <c r="O156" i="40"/>
  <c r="O127" i="40"/>
  <c r="P102" i="40"/>
  <c r="J152" i="40"/>
  <c r="H150" i="40"/>
  <c r="P182" i="40"/>
  <c r="P175" i="40"/>
  <c r="M172" i="40"/>
  <c r="L197" i="40"/>
  <c r="K198" i="40"/>
  <c r="J194" i="40"/>
  <c r="J169" i="40"/>
  <c r="K177" i="40"/>
  <c r="K175" i="40"/>
  <c r="K182" i="40"/>
  <c r="K183" i="40"/>
  <c r="H172" i="40"/>
  <c r="H182" i="40"/>
  <c r="H183" i="40"/>
  <c r="P177" i="40"/>
  <c r="F75" i="40"/>
  <c r="O106" i="40"/>
  <c r="O85" i="40"/>
  <c r="H90" i="40"/>
  <c r="H78" i="40"/>
  <c r="F102" i="40"/>
  <c r="Q102" i="40"/>
  <c r="E75" i="40"/>
  <c r="B102" i="40"/>
  <c r="E105" i="40"/>
  <c r="O101" i="40"/>
  <c r="F103" i="40"/>
  <c r="Q103" i="40" s="1"/>
  <c r="H111" i="40"/>
  <c r="F98" i="40"/>
  <c r="P91" i="40"/>
  <c r="M137" i="40"/>
  <c r="O128" i="40"/>
  <c r="P172" i="40"/>
  <c r="J137" i="40"/>
  <c r="O126" i="40"/>
  <c r="H122" i="40"/>
  <c r="H99" i="40"/>
  <c r="J100" i="40"/>
  <c r="K88" i="40"/>
  <c r="O80" i="40"/>
  <c r="J80" i="40"/>
  <c r="O78" i="40"/>
  <c r="J78" i="40"/>
  <c r="M85" i="40"/>
  <c r="H85" i="40"/>
  <c r="H80" i="40"/>
  <c r="H193" i="40"/>
  <c r="H168" i="40"/>
  <c r="K170" i="40"/>
  <c r="M90" i="40"/>
  <c r="J191" i="40"/>
  <c r="M182" i="40"/>
  <c r="P198" i="40"/>
  <c r="G213" i="40"/>
  <c r="P228" i="40"/>
  <c r="M216" i="40"/>
  <c r="L219" i="40"/>
  <c r="L114" i="40"/>
  <c r="L121" i="40"/>
  <c r="L137" i="40"/>
  <c r="J85" i="40"/>
  <c r="M124" i="40"/>
  <c r="H125" i="40"/>
  <c r="J128" i="40"/>
  <c r="H144" i="40"/>
  <c r="H157" i="40"/>
  <c r="J99" i="40"/>
  <c r="G103" i="40"/>
  <c r="M81" i="40"/>
  <c r="H81" i="40"/>
  <c r="G75" i="40"/>
  <c r="G76" i="40"/>
  <c r="B98" i="40"/>
  <c r="O82" i="40"/>
  <c r="J82" i="40"/>
  <c r="O87" i="40"/>
  <c r="J87" i="40"/>
  <c r="J77" i="40"/>
  <c r="C98" i="40"/>
  <c r="M86" i="40"/>
  <c r="H86" i="40"/>
  <c r="M79" i="40"/>
  <c r="H79" i="40"/>
  <c r="M205" i="40"/>
  <c r="H205" i="40"/>
  <c r="K167" i="40"/>
  <c r="K172" i="40"/>
  <c r="K191" i="40"/>
  <c r="H197" i="40"/>
  <c r="M198" i="40"/>
  <c r="H198" i="40"/>
  <c r="M183" i="40"/>
  <c r="O169" i="40"/>
  <c r="P146" i="40"/>
  <c r="M221" i="40"/>
  <c r="P216" i="40"/>
  <c r="H98" i="40"/>
  <c r="L172" i="40"/>
  <c r="O144" i="40"/>
  <c r="L190" i="40"/>
  <c r="O191" i="40"/>
  <c r="M126" i="40"/>
  <c r="O137" i="40"/>
  <c r="M125" i="40"/>
  <c r="M83" i="40"/>
  <c r="H83" i="40"/>
  <c r="E98" i="40"/>
  <c r="H91" i="40"/>
  <c r="O89" i="40"/>
  <c r="J89" i="40"/>
  <c r="O84" i="40"/>
  <c r="J84" i="40"/>
  <c r="M77" i="40"/>
  <c r="H77" i="40"/>
  <c r="O83" i="40"/>
  <c r="J83" i="40"/>
  <c r="M84" i="40"/>
  <c r="H84" i="40"/>
  <c r="M89" i="40"/>
  <c r="H89" i="40"/>
  <c r="H76" i="40"/>
  <c r="H224" i="40"/>
  <c r="M91" i="40"/>
  <c r="J167" i="40"/>
  <c r="J168" i="40"/>
  <c r="K192" i="40"/>
  <c r="M206" i="40"/>
  <c r="H206" i="40"/>
  <c r="M222" i="40"/>
  <c r="H222" i="40"/>
  <c r="O194" i="40"/>
  <c r="P183" i="40"/>
  <c r="L216" i="40"/>
  <c r="L213" i="40"/>
  <c r="M214" i="40"/>
  <c r="M218" i="40"/>
  <c r="O225" i="40"/>
  <c r="G144" i="40"/>
  <c r="M136" i="40"/>
  <c r="H167" i="40"/>
  <c r="K137" i="40"/>
  <c r="J157" i="40"/>
  <c r="J144" i="40"/>
  <c r="O125" i="40"/>
  <c r="P114" i="40"/>
  <c r="K131" i="40"/>
  <c r="J76" i="40"/>
  <c r="K100" i="40"/>
  <c r="L105" i="40"/>
  <c r="G105" i="40"/>
  <c r="O79" i="40"/>
  <c r="J79" i="40"/>
  <c r="O86" i="40"/>
  <c r="J86" i="40"/>
  <c r="G99" i="40"/>
  <c r="M87" i="40"/>
  <c r="H87" i="40"/>
  <c r="O81" i="40"/>
  <c r="J81" i="40"/>
  <c r="K76" i="40"/>
  <c r="M82" i="40"/>
  <c r="H82" i="40"/>
  <c r="H191" i="40"/>
  <c r="K220" i="40"/>
  <c r="M76" i="40"/>
  <c r="P171" i="40"/>
  <c r="K190" i="40"/>
  <c r="K194" i="40"/>
  <c r="K213" i="40"/>
  <c r="K218" i="40"/>
  <c r="P151" i="40"/>
  <c r="M144" i="40"/>
  <c r="M146" i="40"/>
  <c r="J190" i="40"/>
  <c r="H213" i="40"/>
  <c r="P75" i="40"/>
  <c r="O213" i="40"/>
  <c r="O229" i="40"/>
  <c r="M123" i="40"/>
  <c r="L144" i="40"/>
  <c r="H137" i="40"/>
  <c r="H121" i="40"/>
  <c r="G167" i="40"/>
  <c r="P167" i="40"/>
  <c r="P170" i="40"/>
  <c r="P194" i="40"/>
  <c r="P76" i="40"/>
  <c r="J75" i="40"/>
  <c r="K121" i="40"/>
  <c r="P192" i="40"/>
  <c r="H75" i="40"/>
  <c r="M193" i="40"/>
  <c r="M80" i="40"/>
  <c r="K75" i="40"/>
  <c r="O100" i="40"/>
  <c r="J121" i="40"/>
  <c r="M167" i="40"/>
  <c r="M168" i="40"/>
  <c r="K98" i="40"/>
  <c r="O76" i="40"/>
  <c r="P137" i="40"/>
  <c r="O167" i="40"/>
  <c r="O168" i="40"/>
  <c r="M224" i="40"/>
  <c r="M75" i="40"/>
  <c r="O121" i="40"/>
  <c r="L99" i="40"/>
  <c r="M213" i="40"/>
  <c r="M197" i="40"/>
  <c r="G98" i="40"/>
  <c r="M122" i="40"/>
  <c r="M121" i="40"/>
  <c r="P191" i="40"/>
  <c r="M191" i="40"/>
  <c r="P100" i="40"/>
  <c r="P98" i="40"/>
  <c r="L167" i="40"/>
  <c r="M78" i="40"/>
  <c r="L75" i="40"/>
  <c r="L76" i="40"/>
  <c r="O99" i="40"/>
  <c r="O190" i="40"/>
  <c r="O77" i="40"/>
  <c r="J98" i="40"/>
  <c r="P218" i="40"/>
  <c r="P213" i="40"/>
  <c r="P220" i="40"/>
  <c r="P131" i="40"/>
  <c r="P144" i="40"/>
  <c r="L103" i="40"/>
  <c r="L98" i="40"/>
  <c r="H190" i="40"/>
  <c r="M99" i="40"/>
  <c r="M98" i="40"/>
  <c r="O98" i="40"/>
  <c r="P121" i="40"/>
  <c r="P190" i="40"/>
  <c r="O75" i="40"/>
  <c r="M190" i="40"/>
  <c r="Q115" i="40"/>
  <c r="Q214" i="40"/>
  <c r="Q150" i="40"/>
  <c r="Q112" i="40"/>
  <c r="Q132" i="40"/>
  <c r="Q84" i="40"/>
  <c r="Q79" i="40"/>
  <c r="Q154" i="40"/>
  <c r="V320" i="68"/>
  <c r="Y341" i="68"/>
  <c r="AC340" i="68"/>
  <c r="Z342" i="68"/>
  <c r="AE342" i="68" s="1"/>
  <c r="AD361" i="68"/>
  <c r="U362" i="68"/>
  <c r="X362" i="68"/>
  <c r="AA343" i="68"/>
  <c r="AF343" i="68" s="1"/>
  <c r="AD342" i="68"/>
  <c r="AI342" i="68"/>
  <c r="AD340" i="68"/>
  <c r="AD344" i="68"/>
  <c r="AI344" i="68"/>
  <c r="AC361" i="68"/>
  <c r="AA342" i="68"/>
  <c r="AA347" i="68"/>
  <c r="AF347" i="68" s="1"/>
  <c r="AA353" i="68"/>
  <c r="AF353" i="68" s="1"/>
  <c r="AD358" i="68"/>
  <c r="AI358" i="68"/>
  <c r="AA361" i="68"/>
  <c r="AC342" i="68"/>
  <c r="Z343" i="68"/>
  <c r="AC344" i="68"/>
  <c r="AH344" i="68"/>
  <c r="Z345" i="68"/>
  <c r="AE345" i="68"/>
  <c r="AC346" i="68"/>
  <c r="AH346" i="68" s="1"/>
  <c r="Z347" i="68"/>
  <c r="AE347" i="68"/>
  <c r="AC348" i="68"/>
  <c r="AH348" i="68"/>
  <c r="Z349" i="68"/>
  <c r="AE349" i="68"/>
  <c r="AC350" i="68"/>
  <c r="AH350" i="68"/>
  <c r="Z351" i="68"/>
  <c r="AE351" i="68"/>
  <c r="AC352" i="68"/>
  <c r="AH352" i="68" s="1"/>
  <c r="Z353" i="68"/>
  <c r="AE353" i="68"/>
  <c r="AC354" i="68"/>
  <c r="AH354" i="68" s="1"/>
  <c r="Z355" i="68"/>
  <c r="AE355" i="68"/>
  <c r="AC356" i="68"/>
  <c r="AH356" i="68"/>
  <c r="Z357" i="68"/>
  <c r="AE357" i="68"/>
  <c r="AC358" i="68"/>
  <c r="AH358" i="68" s="1"/>
  <c r="Z361" i="68"/>
  <c r="AA345" i="68"/>
  <c r="AF345" i="68" s="1"/>
  <c r="AD346" i="68"/>
  <c r="AI346" i="68" s="1"/>
  <c r="AD348" i="68"/>
  <c r="AI348" i="68" s="1"/>
  <c r="AD352" i="68"/>
  <c r="AI352" i="68" s="1"/>
  <c r="AC343" i="68"/>
  <c r="AH343" i="68"/>
  <c r="Z344" i="68"/>
  <c r="AE344" i="68" s="1"/>
  <c r="AC345" i="68"/>
  <c r="Z346" i="68"/>
  <c r="AE346" i="68" s="1"/>
  <c r="AC347" i="68"/>
  <c r="AH347" i="68" s="1"/>
  <c r="Z348" i="68"/>
  <c r="AE348" i="68" s="1"/>
  <c r="AC349" i="68"/>
  <c r="AH349" i="68"/>
  <c r="Z350" i="68"/>
  <c r="AE350" i="68" s="1"/>
  <c r="AC351" i="68"/>
  <c r="AH351" i="68" s="1"/>
  <c r="Z352" i="68"/>
  <c r="AE352" i="68" s="1"/>
  <c r="AC353" i="68"/>
  <c r="AH353" i="68" s="1"/>
  <c r="Z354" i="68"/>
  <c r="AE354" i="68" s="1"/>
  <c r="AC355" i="68"/>
  <c r="AH355" i="68" s="1"/>
  <c r="Z356" i="68"/>
  <c r="AE356" i="68" s="1"/>
  <c r="AC357" i="68"/>
  <c r="AH357" i="68"/>
  <c r="Z358" i="68"/>
  <c r="AE358" i="68" s="1"/>
  <c r="AA349" i="68"/>
  <c r="AF349" i="68" s="1"/>
  <c r="AD350" i="68"/>
  <c r="AI350" i="68" s="1"/>
  <c r="AA351" i="68"/>
  <c r="AF351" i="68"/>
  <c r="AD354" i="68"/>
  <c r="AI354" i="68" s="1"/>
  <c r="AA355" i="68"/>
  <c r="AF355" i="68"/>
  <c r="AD356" i="68"/>
  <c r="AI356" i="68" s="1"/>
  <c r="AA357" i="68"/>
  <c r="AF357" i="68" s="1"/>
  <c r="AD343" i="68"/>
  <c r="AI343" i="68" s="1"/>
  <c r="AA344" i="68"/>
  <c r="AD345" i="68"/>
  <c r="AI345" i="68" s="1"/>
  <c r="AA346" i="68"/>
  <c r="AF346" i="68"/>
  <c r="AD347" i="68"/>
  <c r="AI347" i="68"/>
  <c r="AA348" i="68"/>
  <c r="AF348" i="68"/>
  <c r="AD349" i="68"/>
  <c r="AI349" i="68"/>
  <c r="AA350" i="68"/>
  <c r="AF350" i="68"/>
  <c r="AD351" i="68"/>
  <c r="AI351" i="68" s="1"/>
  <c r="AA352" i="68"/>
  <c r="AF352" i="68"/>
  <c r="AD353" i="68"/>
  <c r="AI353" i="68" s="1"/>
  <c r="AA354" i="68"/>
  <c r="AF354" i="68"/>
  <c r="AD355" i="68"/>
  <c r="AI355" i="68"/>
  <c r="AA356" i="68"/>
  <c r="AD357" i="68"/>
  <c r="AI357" i="68" s="1"/>
  <c r="AA358" i="68"/>
  <c r="AF358" i="68"/>
  <c r="AD38" i="68"/>
  <c r="AI38" i="68" s="1"/>
  <c r="AA96" i="68"/>
  <c r="AF96" i="68" s="1"/>
  <c r="AD253" i="68"/>
  <c r="AI253" i="68" s="1"/>
  <c r="AD163" i="68"/>
  <c r="AA28" i="68"/>
  <c r="AF28" i="68" s="1"/>
  <c r="AD248" i="68"/>
  <c r="AA316" i="68"/>
  <c r="AD283" i="68"/>
  <c r="AI283" i="68" s="1"/>
  <c r="AA265" i="68"/>
  <c r="AF265" i="68" s="1"/>
  <c r="AA211" i="68"/>
  <c r="AF211" i="68"/>
  <c r="AA180" i="68"/>
  <c r="AF180" i="68" s="1"/>
  <c r="AD91" i="68"/>
  <c r="AI91" i="68"/>
  <c r="AA67" i="68"/>
  <c r="AA27" i="68"/>
  <c r="AF27" i="68" s="1"/>
  <c r="AA14" i="68"/>
  <c r="AA117" i="68"/>
  <c r="AF117" i="68" s="1"/>
  <c r="AD214" i="68"/>
  <c r="AD33" i="68"/>
  <c r="AI33" i="68" s="1"/>
  <c r="AA33" i="68"/>
  <c r="AF33" i="68" s="1"/>
  <c r="AA115" i="68"/>
  <c r="AF115" i="68"/>
  <c r="AA140" i="68"/>
  <c r="AF140" i="68" s="1"/>
  <c r="AA162" i="68"/>
  <c r="AF162" i="68"/>
  <c r="AA279" i="68"/>
  <c r="AF279" i="68"/>
  <c r="AD59" i="68"/>
  <c r="AI59" i="68" s="1"/>
  <c r="AA98" i="68"/>
  <c r="AF98" i="68" s="1"/>
  <c r="AD134" i="68"/>
  <c r="AI134" i="68" s="1"/>
  <c r="AA224" i="68"/>
  <c r="AF224" i="68" s="1"/>
  <c r="AD267" i="68"/>
  <c r="AI267" i="68" s="1"/>
  <c r="AD43" i="68"/>
  <c r="AI43" i="68" s="1"/>
  <c r="AA80" i="68"/>
  <c r="AF80" i="68" s="1"/>
  <c r="AC330" i="68"/>
  <c r="AH330" i="68" s="1"/>
  <c r="AA330" i="68"/>
  <c r="AF330" i="68" s="1"/>
  <c r="AA327" i="68"/>
  <c r="AF327" i="68" s="1"/>
  <c r="AD329" i="68"/>
  <c r="AI329" i="68" s="1"/>
  <c r="AA310" i="68"/>
  <c r="AF310" i="68" s="1"/>
  <c r="AA303" i="68"/>
  <c r="AF303" i="68"/>
  <c r="AD282" i="68"/>
  <c r="AI282" i="68" s="1"/>
  <c r="AA284" i="68"/>
  <c r="AA285" i="68"/>
  <c r="AF285" i="68" s="1"/>
  <c r="AD290" i="68"/>
  <c r="AD277" i="68"/>
  <c r="AA263" i="68"/>
  <c r="AF263" i="68" s="1"/>
  <c r="AA261" i="68"/>
  <c r="AF261" i="68" s="1"/>
  <c r="AA262" i="68"/>
  <c r="AA264" i="68"/>
  <c r="AF264" i="68" s="1"/>
  <c r="AD259" i="68"/>
  <c r="AI259" i="68"/>
  <c r="AA258" i="68"/>
  <c r="AF258" i="68" s="1"/>
  <c r="AD260" i="68"/>
  <c r="AA238" i="68"/>
  <c r="AF238" i="68"/>
  <c r="AA243" i="68"/>
  <c r="AF243" i="68" s="1"/>
  <c r="AA242" i="68"/>
  <c r="AD237" i="68"/>
  <c r="AI237" i="68" s="1"/>
  <c r="AD238" i="68"/>
  <c r="AI238" i="68" s="1"/>
  <c r="AD249" i="68"/>
  <c r="AI249" i="68" s="1"/>
  <c r="AA245" i="68"/>
  <c r="AF245" i="68"/>
  <c r="AA239" i="68"/>
  <c r="AA216" i="68"/>
  <c r="AF216" i="68"/>
  <c r="AA223" i="68"/>
  <c r="AF223" i="68" s="1"/>
  <c r="AA235" i="68"/>
  <c r="AA232" i="68"/>
  <c r="AF232" i="68" s="1"/>
  <c r="AD219" i="68"/>
  <c r="AI219" i="68" s="1"/>
  <c r="AD200" i="68"/>
  <c r="AI200" i="68"/>
  <c r="AD211" i="68"/>
  <c r="AD198" i="68"/>
  <c r="AI198" i="68"/>
  <c r="AA195" i="68"/>
  <c r="AF195" i="68"/>
  <c r="AD196" i="68"/>
  <c r="AI196" i="68" s="1"/>
  <c r="AA185" i="68"/>
  <c r="AF185" i="68"/>
  <c r="AA174" i="68"/>
  <c r="AF174" i="68" s="1"/>
  <c r="AD180" i="68"/>
  <c r="AI180" i="68"/>
  <c r="AD190" i="68"/>
  <c r="AI190" i="68"/>
  <c r="AA175" i="68"/>
  <c r="AF175" i="68" s="1"/>
  <c r="AD193" i="68"/>
  <c r="AA184" i="68"/>
  <c r="AF184" i="68"/>
  <c r="AA161" i="68"/>
  <c r="AF161" i="68" s="1"/>
  <c r="AD155" i="68"/>
  <c r="AI155" i="68"/>
  <c r="AA154" i="68"/>
  <c r="AA159" i="68"/>
  <c r="AF159" i="68" s="1"/>
  <c r="AA157" i="68"/>
  <c r="AF157" i="68"/>
  <c r="AD157" i="68"/>
  <c r="AI157" i="68" s="1"/>
  <c r="AA164" i="68"/>
  <c r="AA153" i="68"/>
  <c r="AF153" i="68" s="1"/>
  <c r="AD165" i="68"/>
  <c r="AI165" i="68" s="1"/>
  <c r="AD145" i="68"/>
  <c r="AA135" i="68"/>
  <c r="AA137" i="68"/>
  <c r="AF137" i="68" s="1"/>
  <c r="AD141" i="68"/>
  <c r="AI141" i="68" s="1"/>
  <c r="AA132" i="68"/>
  <c r="AF132" i="68"/>
  <c r="AD142" i="68"/>
  <c r="AI142" i="68"/>
  <c r="AD140" i="68"/>
  <c r="AI140" i="68" s="1"/>
  <c r="AA134" i="68"/>
  <c r="AA144" i="68"/>
  <c r="AF144" i="68"/>
  <c r="AD135" i="68"/>
  <c r="AI135" i="68" s="1"/>
  <c r="AD151" i="68"/>
  <c r="AD117" i="68"/>
  <c r="AI117" i="68" s="1"/>
  <c r="AA121" i="68"/>
  <c r="AF121" i="68" s="1"/>
  <c r="AA119" i="68"/>
  <c r="AF119" i="68" s="1"/>
  <c r="AA122" i="68"/>
  <c r="AF122" i="68" s="1"/>
  <c r="AD111" i="68"/>
  <c r="AI111" i="68"/>
  <c r="AD119" i="68"/>
  <c r="AD114" i="68"/>
  <c r="AI114" i="68" s="1"/>
  <c r="AA123" i="68"/>
  <c r="AF123" i="68" s="1"/>
  <c r="AD121" i="68"/>
  <c r="AI121" i="68" s="1"/>
  <c r="AD102" i="68"/>
  <c r="AI102" i="68" s="1"/>
  <c r="AD93" i="68"/>
  <c r="AI93" i="68" s="1"/>
  <c r="AA92" i="68"/>
  <c r="AD96" i="68"/>
  <c r="AI96" i="68" s="1"/>
  <c r="AD106" i="68"/>
  <c r="AI106" i="68"/>
  <c r="AA109" i="68"/>
  <c r="AD90" i="68"/>
  <c r="AI90" i="68" s="1"/>
  <c r="AA100" i="68"/>
  <c r="AF100" i="68" s="1"/>
  <c r="AD94" i="68"/>
  <c r="AI94" i="68"/>
  <c r="AA91" i="68"/>
  <c r="AF91" i="68" s="1"/>
  <c r="AA93" i="68"/>
  <c r="AF93" i="68" s="1"/>
  <c r="AA99" i="68"/>
  <c r="AF99" i="68" s="1"/>
  <c r="AD97" i="68"/>
  <c r="AI97" i="68" s="1"/>
  <c r="AD85" i="68"/>
  <c r="AI85" i="68" s="1"/>
  <c r="AD74" i="68"/>
  <c r="AI74" i="68"/>
  <c r="AA69" i="68"/>
  <c r="AD79" i="68"/>
  <c r="AI79" i="68" s="1"/>
  <c r="AA88" i="68"/>
  <c r="AA70" i="68"/>
  <c r="AF70" i="68"/>
  <c r="AA79" i="68"/>
  <c r="AF79" i="68" s="1"/>
  <c r="AD78" i="68"/>
  <c r="AI78" i="68" s="1"/>
  <c r="AA74" i="68"/>
  <c r="AA58" i="68"/>
  <c r="AF58" i="68" s="1"/>
  <c r="AD27" i="68"/>
  <c r="AI27" i="68" s="1"/>
  <c r="AD35" i="68"/>
  <c r="AI35" i="68" s="1"/>
  <c r="AA31" i="68"/>
  <c r="AF31" i="68" s="1"/>
  <c r="AD46" i="68"/>
  <c r="AD34" i="68"/>
  <c r="AI34" i="68" s="1"/>
  <c r="AD37" i="68"/>
  <c r="AI37" i="68"/>
  <c r="AA34" i="68"/>
  <c r="AF34" i="68" s="1"/>
  <c r="AD32" i="68"/>
  <c r="AI32" i="68" s="1"/>
  <c r="AA32" i="68"/>
  <c r="AD22" i="68"/>
  <c r="AI22" i="68"/>
  <c r="AD7" i="68"/>
  <c r="AI7" i="68" s="1"/>
  <c r="Z291" i="68"/>
  <c r="AE291" i="68" s="1"/>
  <c r="V110" i="68"/>
  <c r="AC211" i="68"/>
  <c r="AC322" i="68"/>
  <c r="AF14" i="68"/>
  <c r="Z307" i="68"/>
  <c r="AE307" i="68" s="1"/>
  <c r="Z224" i="68"/>
  <c r="AE224" i="68" s="1"/>
  <c r="Z218" i="68"/>
  <c r="AE218" i="68"/>
  <c r="Z216" i="68"/>
  <c r="X257" i="68"/>
  <c r="U278" i="68"/>
  <c r="Y110" i="68"/>
  <c r="AC319" i="68"/>
  <c r="AC310" i="68"/>
  <c r="AH310" i="68"/>
  <c r="Z309" i="68"/>
  <c r="Z305" i="68"/>
  <c r="AE305" i="68" s="1"/>
  <c r="Z322" i="68"/>
  <c r="AE322" i="68" s="1"/>
  <c r="AC326" i="68"/>
  <c r="AH326" i="68" s="1"/>
  <c r="Z337" i="68"/>
  <c r="AE337" i="68" s="1"/>
  <c r="Z323" i="68"/>
  <c r="AE323" i="68"/>
  <c r="Z331" i="68"/>
  <c r="AE331" i="68" s="1"/>
  <c r="AD326" i="68"/>
  <c r="AI326" i="68" s="1"/>
  <c r="AD321" i="68"/>
  <c r="AA334" i="68"/>
  <c r="AF334" i="68" s="1"/>
  <c r="AA332" i="68"/>
  <c r="AF332" i="68" s="1"/>
  <c r="AA323" i="68"/>
  <c r="AF323" i="68"/>
  <c r="AA331" i="68"/>
  <c r="AF331" i="68"/>
  <c r="AA306" i="68"/>
  <c r="AF306" i="68" s="1"/>
  <c r="AA301" i="68"/>
  <c r="AF301" i="68"/>
  <c r="AA311" i="68"/>
  <c r="AF311" i="68" s="1"/>
  <c r="AD308" i="68"/>
  <c r="AI308" i="68"/>
  <c r="AD303" i="68"/>
  <c r="AI303" i="68" s="1"/>
  <c r="AA312" i="68"/>
  <c r="AF312" i="68" s="1"/>
  <c r="AA309" i="68"/>
  <c r="AF309" i="68"/>
  <c r="AD288" i="68"/>
  <c r="AI288" i="68" s="1"/>
  <c r="AD284" i="68"/>
  <c r="AI284" i="68"/>
  <c r="AA298" i="68"/>
  <c r="AA281" i="68"/>
  <c r="AF281" i="68" s="1"/>
  <c r="AA295" i="68"/>
  <c r="AF295" i="68" s="1"/>
  <c r="AA292" i="68"/>
  <c r="AF292" i="68" s="1"/>
  <c r="AA290" i="68"/>
  <c r="AF290" i="68" s="1"/>
  <c r="AA286" i="68"/>
  <c r="AF286" i="68" s="1"/>
  <c r="AD280" i="68"/>
  <c r="AI280" i="68"/>
  <c r="AA291" i="68"/>
  <c r="AF291" i="68" s="1"/>
  <c r="AD264" i="68"/>
  <c r="AI264" i="68" s="1"/>
  <c r="AD274" i="68"/>
  <c r="AI274" i="68" s="1"/>
  <c r="AD268" i="68"/>
  <c r="AI268" i="68"/>
  <c r="AD266" i="68"/>
  <c r="AI266" i="68" s="1"/>
  <c r="AD258" i="68"/>
  <c r="AI258" i="68" s="1"/>
  <c r="AD271" i="68"/>
  <c r="AI271" i="68" s="1"/>
  <c r="AA266" i="68"/>
  <c r="AF266" i="68"/>
  <c r="AA267" i="68"/>
  <c r="AF267" i="68" s="1"/>
  <c r="AA277" i="68"/>
  <c r="AD265" i="68"/>
  <c r="AI265" i="68"/>
  <c r="AA268" i="68"/>
  <c r="AF268" i="68" s="1"/>
  <c r="AA246" i="68"/>
  <c r="AF246" i="68"/>
  <c r="AA247" i="68"/>
  <c r="AF247" i="68" s="1"/>
  <c r="AD239" i="68"/>
  <c r="AI239" i="68"/>
  <c r="AA249" i="68"/>
  <c r="AF249" i="68" s="1"/>
  <c r="AD243" i="68"/>
  <c r="AI243" i="68" s="1"/>
  <c r="AA241" i="68"/>
  <c r="AF241" i="68"/>
  <c r="AA244" i="68"/>
  <c r="AD244" i="68"/>
  <c r="AI244" i="68"/>
  <c r="AA225" i="68"/>
  <c r="AF225" i="68"/>
  <c r="AD227" i="68"/>
  <c r="AI227" i="68" s="1"/>
  <c r="AA221" i="68"/>
  <c r="AF221" i="68" s="1"/>
  <c r="AD223" i="68"/>
  <c r="AI223" i="68" s="1"/>
  <c r="AD225" i="68"/>
  <c r="AI225" i="68" s="1"/>
  <c r="AD235" i="68"/>
  <c r="AA214" i="68"/>
  <c r="AA199" i="68"/>
  <c r="AF199" i="68"/>
  <c r="AA196" i="68"/>
  <c r="AF196" i="68" s="1"/>
  <c r="AD204" i="68"/>
  <c r="AA198" i="68"/>
  <c r="AF198" i="68"/>
  <c r="AD177" i="68"/>
  <c r="AI177" i="68" s="1"/>
  <c r="AD185" i="68"/>
  <c r="AI185" i="68"/>
  <c r="AD183" i="68"/>
  <c r="AI183" i="68" s="1"/>
  <c r="AD176" i="68"/>
  <c r="AD178" i="68"/>
  <c r="AI178" i="68" s="1"/>
  <c r="AD184" i="68"/>
  <c r="AI184" i="68" s="1"/>
  <c r="AA190" i="68"/>
  <c r="AF190" i="68"/>
  <c r="AA165" i="68"/>
  <c r="AF165" i="68" s="1"/>
  <c r="AA158" i="68"/>
  <c r="AD169" i="68"/>
  <c r="AI169" i="68"/>
  <c r="AD154" i="68"/>
  <c r="AI154" i="68" s="1"/>
  <c r="AA160" i="68"/>
  <c r="AF160" i="68" s="1"/>
  <c r="AD160" i="68"/>
  <c r="AI160" i="68" s="1"/>
  <c r="AA141" i="68"/>
  <c r="AF141" i="68" s="1"/>
  <c r="AD138" i="68"/>
  <c r="AI138" i="68"/>
  <c r="AA139" i="68"/>
  <c r="AF139" i="68" s="1"/>
  <c r="AD133" i="68"/>
  <c r="AI133" i="68" s="1"/>
  <c r="AD144" i="68"/>
  <c r="AI144" i="68" s="1"/>
  <c r="AD143" i="68"/>
  <c r="AI143" i="68" s="1"/>
  <c r="AD137" i="68"/>
  <c r="AI137" i="68" s="1"/>
  <c r="AD118" i="68"/>
  <c r="AI118" i="68" s="1"/>
  <c r="AA130" i="68"/>
  <c r="AA116" i="68"/>
  <c r="AF116" i="68"/>
  <c r="AD123" i="68"/>
  <c r="AI123" i="68" s="1"/>
  <c r="AD130" i="68"/>
  <c r="AA90" i="68"/>
  <c r="AF90" i="68"/>
  <c r="AA95" i="68"/>
  <c r="AF95" i="68" s="1"/>
  <c r="AA84" i="68"/>
  <c r="AF84" i="68"/>
  <c r="AA82" i="68"/>
  <c r="AD81" i="68"/>
  <c r="AI81" i="68" s="1"/>
  <c r="AD77" i="68"/>
  <c r="AI77" i="68" s="1"/>
  <c r="AA51" i="68"/>
  <c r="AF51" i="68" s="1"/>
  <c r="AD67" i="68"/>
  <c r="AA56" i="68"/>
  <c r="AF56" i="68" s="1"/>
  <c r="AD56" i="68"/>
  <c r="AI56" i="68"/>
  <c r="AA64" i="68"/>
  <c r="AF64" i="68"/>
  <c r="AD64" i="68"/>
  <c r="AI64" i="68" s="1"/>
  <c r="AD51" i="68"/>
  <c r="AD50" i="68"/>
  <c r="AI50" i="68" s="1"/>
  <c r="AA38" i="68"/>
  <c r="AF38" i="68" s="1"/>
  <c r="AA15" i="68"/>
  <c r="AF15" i="68" s="1"/>
  <c r="AA10" i="68"/>
  <c r="AF10" i="68"/>
  <c r="AD9" i="68"/>
  <c r="AI9" i="68" s="1"/>
  <c r="AA11" i="68"/>
  <c r="AF11" i="68" s="1"/>
  <c r="AA25" i="68"/>
  <c r="AD6" i="68"/>
  <c r="AD11" i="68"/>
  <c r="AI11" i="68"/>
  <c r="AA22" i="68"/>
  <c r="AF22" i="68" s="1"/>
  <c r="AF239" i="68"/>
  <c r="AC260" i="68"/>
  <c r="AH260" i="68" s="1"/>
  <c r="AC331" i="68"/>
  <c r="Z306" i="68"/>
  <c r="AE306" i="68" s="1"/>
  <c r="AC80" i="68"/>
  <c r="AH80" i="68" s="1"/>
  <c r="AC216" i="68"/>
  <c r="AH216" i="68" s="1"/>
  <c r="Z249" i="68"/>
  <c r="AE249" i="68" s="1"/>
  <c r="Z268" i="68"/>
  <c r="AE268" i="68" s="1"/>
  <c r="AC264" i="68"/>
  <c r="Z289" i="68"/>
  <c r="AE289" i="68"/>
  <c r="Z280" i="68"/>
  <c r="AE280" i="68" s="1"/>
  <c r="AC225" i="68"/>
  <c r="AH225" i="68"/>
  <c r="AC222" i="68"/>
  <c r="AH222" i="68" s="1"/>
  <c r="Z232" i="68"/>
  <c r="AE232" i="68" s="1"/>
  <c r="Z264" i="68"/>
  <c r="AE264" i="68"/>
  <c r="Z277" i="68"/>
  <c r="AC269" i="68"/>
  <c r="AC289" i="68"/>
  <c r="AH289" i="68" s="1"/>
  <c r="U236" i="68"/>
  <c r="AC226" i="68"/>
  <c r="AH226" i="68" s="1"/>
  <c r="U257" i="68"/>
  <c r="Y257" i="68"/>
  <c r="AC265" i="68"/>
  <c r="AH265" i="68"/>
  <c r="AC290" i="68"/>
  <c r="AH290" i="68" s="1"/>
  <c r="Y215" i="68"/>
  <c r="Y236" i="68"/>
  <c r="AC244" i="68"/>
  <c r="AH244" i="68" s="1"/>
  <c r="Z242" i="68"/>
  <c r="AE242" i="68"/>
  <c r="Z319" i="68"/>
  <c r="AC301" i="68"/>
  <c r="AH301" i="68" s="1"/>
  <c r="AC300" i="68"/>
  <c r="AC305" i="68"/>
  <c r="AH305" i="68" s="1"/>
  <c r="AC316" i="68"/>
  <c r="AH316" i="68"/>
  <c r="Z311" i="68"/>
  <c r="AE311" i="68" s="1"/>
  <c r="Z302" i="68"/>
  <c r="AE302" i="68"/>
  <c r="AC302" i="68"/>
  <c r="AH302" i="68" s="1"/>
  <c r="AC325" i="68"/>
  <c r="AH325" i="68" s="1"/>
  <c r="AC329" i="68"/>
  <c r="AH329" i="68"/>
  <c r="AC333" i="68"/>
  <c r="AH333" i="68" s="1"/>
  <c r="Z325" i="68"/>
  <c r="AE325" i="68"/>
  <c r="Z329" i="68"/>
  <c r="Z333" i="68"/>
  <c r="AE333" i="68" s="1"/>
  <c r="Z328" i="68"/>
  <c r="AE328" i="68" s="1"/>
  <c r="Z332" i="68"/>
  <c r="AE332" i="68" s="1"/>
  <c r="AC328" i="68"/>
  <c r="AH328" i="68" s="1"/>
  <c r="AC332" i="68"/>
  <c r="AH332" i="68" s="1"/>
  <c r="AA322" i="68"/>
  <c r="AF322" i="68"/>
  <c r="AA326" i="68"/>
  <c r="AF326" i="68" s="1"/>
  <c r="AD337" i="68"/>
  <c r="AI337" i="68" s="1"/>
  <c r="AA328" i="68"/>
  <c r="AF328" i="68" s="1"/>
  <c r="AA329" i="68"/>
  <c r="AF329" i="68"/>
  <c r="AA333" i="68"/>
  <c r="AF333" i="68" s="1"/>
  <c r="AD333" i="68"/>
  <c r="AI333" i="68"/>
  <c r="AD331" i="68"/>
  <c r="AI331" i="68" s="1"/>
  <c r="AD324" i="68"/>
  <c r="AI324" i="68" s="1"/>
  <c r="AD328" i="68"/>
  <c r="AI328" i="68"/>
  <c r="AD332" i="68"/>
  <c r="AI332" i="68"/>
  <c r="AA313" i="68"/>
  <c r="AF313" i="68" s="1"/>
  <c r="AD305" i="68"/>
  <c r="AI305" i="68"/>
  <c r="AD312" i="68"/>
  <c r="AI312" i="68" s="1"/>
  <c r="AD304" i="68"/>
  <c r="AI304" i="68" s="1"/>
  <c r="AA319" i="68"/>
  <c r="AD307" i="68"/>
  <c r="AI307" i="68" s="1"/>
  <c r="AA300" i="68"/>
  <c r="AD306" i="68"/>
  <c r="AI306" i="68" s="1"/>
  <c r="AA304" i="68"/>
  <c r="AF304" i="68" s="1"/>
  <c r="AD310" i="68"/>
  <c r="AI310" i="68"/>
  <c r="AD311" i="68"/>
  <c r="AI311" i="68"/>
  <c r="AA302" i="68"/>
  <c r="AF302" i="68" s="1"/>
  <c r="AD319" i="68"/>
  <c r="AD316" i="68"/>
  <c r="AI316" i="68" s="1"/>
  <c r="AD302" i="68"/>
  <c r="AI302" i="68"/>
  <c r="AD294" i="68"/>
  <c r="AI294" i="68" s="1"/>
  <c r="AA283" i="68"/>
  <c r="AA282" i="68"/>
  <c r="AF282" i="68" s="1"/>
  <c r="AD286" i="68"/>
  <c r="AI286" i="68"/>
  <c r="AA287" i="68"/>
  <c r="AF287" i="68"/>
  <c r="AA288" i="68"/>
  <c r="AF288" i="68" s="1"/>
  <c r="AD279" i="68"/>
  <c r="AI279" i="68"/>
  <c r="AD291" i="68"/>
  <c r="AI291" i="68" s="1"/>
  <c r="AD295" i="68"/>
  <c r="AI295" i="68" s="1"/>
  <c r="AD281" i="68"/>
  <c r="AI281" i="68"/>
  <c r="AD261" i="68"/>
  <c r="AI261" i="68"/>
  <c r="AA260" i="68"/>
  <c r="AF260" i="68" s="1"/>
  <c r="AD251" i="68"/>
  <c r="AI251" i="68"/>
  <c r="AA248" i="68"/>
  <c r="AF248" i="68" s="1"/>
  <c r="AD242" i="68"/>
  <c r="AI242" i="68" s="1"/>
  <c r="AD256" i="68"/>
  <c r="AD246" i="68"/>
  <c r="AI246" i="68" s="1"/>
  <c r="AD245" i="68"/>
  <c r="AI245" i="68"/>
  <c r="AA253" i="68"/>
  <c r="AF253" i="68"/>
  <c r="AA230" i="68"/>
  <c r="AF230" i="68" s="1"/>
  <c r="AD226" i="68"/>
  <c r="AI226" i="68"/>
  <c r="AD230" i="68"/>
  <c r="AD221" i="68"/>
  <c r="AI221" i="68"/>
  <c r="AD208" i="68"/>
  <c r="AI208" i="68"/>
  <c r="AD206" i="68"/>
  <c r="AI206" i="68" s="1"/>
  <c r="AD201" i="68"/>
  <c r="AI201" i="68"/>
  <c r="AD207" i="68"/>
  <c r="AI207" i="68" s="1"/>
  <c r="AA197" i="68"/>
  <c r="AF197" i="68" s="1"/>
  <c r="AA202" i="68"/>
  <c r="AF202" i="68"/>
  <c r="AA208" i="68"/>
  <c r="AF208" i="68" s="1"/>
  <c r="AD203" i="68"/>
  <c r="AI203" i="68" s="1"/>
  <c r="AD195" i="68"/>
  <c r="AI195" i="68"/>
  <c r="AD188" i="68"/>
  <c r="AI188" i="68" s="1"/>
  <c r="AD182" i="68"/>
  <c r="AA181" i="68"/>
  <c r="AF181" i="68"/>
  <c r="AA188" i="68"/>
  <c r="AF188" i="68" s="1"/>
  <c r="AD174" i="68"/>
  <c r="AI174" i="68"/>
  <c r="AD162" i="68"/>
  <c r="AI162" i="68"/>
  <c r="AA166" i="68"/>
  <c r="AF166" i="68" s="1"/>
  <c r="AD161" i="68"/>
  <c r="AI161" i="68"/>
  <c r="AD158" i="68"/>
  <c r="AD136" i="68"/>
  <c r="AA142" i="68"/>
  <c r="AF142" i="68" s="1"/>
  <c r="AA127" i="68"/>
  <c r="AF127" i="68" s="1"/>
  <c r="AA113" i="68"/>
  <c r="AF113" i="68"/>
  <c r="AD116" i="68"/>
  <c r="AI116" i="68" s="1"/>
  <c r="AA120" i="68"/>
  <c r="AF120" i="68" s="1"/>
  <c r="AA112" i="68"/>
  <c r="AF112" i="68"/>
  <c r="AA118" i="68"/>
  <c r="AF118" i="68" s="1"/>
  <c r="AD127" i="68"/>
  <c r="AI127" i="68" s="1"/>
  <c r="AA105" i="68"/>
  <c r="AF105" i="68"/>
  <c r="AA94" i="68"/>
  <c r="AF94" i="68" s="1"/>
  <c r="AD101" i="68"/>
  <c r="AI101" i="68" s="1"/>
  <c r="AA102" i="68"/>
  <c r="AF102" i="68"/>
  <c r="AA97" i="68"/>
  <c r="AF97" i="68" s="1"/>
  <c r="AD109" i="68"/>
  <c r="AD72" i="68"/>
  <c r="AI72" i="68"/>
  <c r="AA73" i="68"/>
  <c r="AF73" i="68" s="1"/>
  <c r="AA72" i="68"/>
  <c r="AF72" i="68"/>
  <c r="AA75" i="68"/>
  <c r="AF75" i="68"/>
  <c r="AD80" i="68"/>
  <c r="AI80" i="68" s="1"/>
  <c r="AA63" i="68"/>
  <c r="AF63" i="68"/>
  <c r="AA59" i="68"/>
  <c r="AF59" i="68"/>
  <c r="AA52" i="68"/>
  <c r="AD49" i="68"/>
  <c r="AI49" i="68" s="1"/>
  <c r="AA55" i="68"/>
  <c r="AF55" i="68" s="1"/>
  <c r="AA48" i="68"/>
  <c r="AF48" i="68"/>
  <c r="AA50" i="68"/>
  <c r="AD55" i="68"/>
  <c r="AA60" i="68"/>
  <c r="AF60" i="68" s="1"/>
  <c r="AA53" i="68"/>
  <c r="AF53" i="68"/>
  <c r="AA57" i="68"/>
  <c r="AF57" i="68" s="1"/>
  <c r="AA49" i="68"/>
  <c r="AF49" i="68" s="1"/>
  <c r="AD54" i="68"/>
  <c r="AI54" i="68"/>
  <c r="AD57" i="68"/>
  <c r="AI57" i="68" s="1"/>
  <c r="AD53" i="68"/>
  <c r="AD39" i="68"/>
  <c r="AI39" i="68"/>
  <c r="AA42" i="68"/>
  <c r="AF42" i="68" s="1"/>
  <c r="AD29" i="68"/>
  <c r="AI29" i="68"/>
  <c r="AA43" i="68"/>
  <c r="AF43" i="68"/>
  <c r="AA18" i="68"/>
  <c r="AA13" i="68"/>
  <c r="AA12" i="68"/>
  <c r="AF12" i="68"/>
  <c r="AA9" i="68"/>
  <c r="AF9" i="68"/>
  <c r="AD15" i="68"/>
  <c r="AI15" i="68" s="1"/>
  <c r="AD20" i="68"/>
  <c r="AI20" i="68"/>
  <c r="AA7" i="68"/>
  <c r="AF7" i="68"/>
  <c r="AD14" i="68"/>
  <c r="AI14" i="68" s="1"/>
  <c r="AD17" i="68"/>
  <c r="AI17" i="68"/>
  <c r="AA16" i="68"/>
  <c r="AA6" i="68"/>
  <c r="AF6" i="68"/>
  <c r="AD10" i="68"/>
  <c r="AI10" i="68" s="1"/>
  <c r="AA17" i="68"/>
  <c r="AF17" i="68" s="1"/>
  <c r="AD13" i="68"/>
  <c r="AI13" i="68"/>
  <c r="AD16" i="68"/>
  <c r="AI16" i="68" s="1"/>
  <c r="AD12" i="68"/>
  <c r="AI12" i="68" s="1"/>
  <c r="AI163" i="68"/>
  <c r="Z226" i="68"/>
  <c r="AE226" i="68"/>
  <c r="AC235" i="68"/>
  <c r="AC221" i="68"/>
  <c r="AH221" i="68"/>
  <c r="AC243" i="68"/>
  <c r="AH243" i="68"/>
  <c r="Z238" i="68"/>
  <c r="AE238" i="68" s="1"/>
  <c r="Z239" i="68"/>
  <c r="AE239" i="68" s="1"/>
  <c r="AC262" i="68"/>
  <c r="AH262" i="68"/>
  <c r="Z282" i="68"/>
  <c r="AE282" i="68" s="1"/>
  <c r="AC287" i="68"/>
  <c r="AH287" i="68" s="1"/>
  <c r="Z284" i="68"/>
  <c r="AC279" i="68"/>
  <c r="AH279" i="68" s="1"/>
  <c r="AC241" i="68"/>
  <c r="AH241" i="68"/>
  <c r="Z310" i="68"/>
  <c r="AE310" i="68"/>
  <c r="AC308" i="68"/>
  <c r="AH308" i="68" s="1"/>
  <c r="AC306" i="68"/>
  <c r="AH306" i="68"/>
  <c r="Z248" i="68"/>
  <c r="V278" i="68"/>
  <c r="X278" i="68"/>
  <c r="AC263" i="68"/>
  <c r="AH263" i="68" s="1"/>
  <c r="U299" i="68"/>
  <c r="X299" i="68"/>
  <c r="Z293" i="68"/>
  <c r="AE293" i="68"/>
  <c r="Y299" i="68"/>
  <c r="V152" i="68"/>
  <c r="Y131" i="68"/>
  <c r="Y152" i="68"/>
  <c r="Y47" i="68"/>
  <c r="V47" i="68"/>
  <c r="V89" i="68"/>
  <c r="Y89" i="68"/>
  <c r="Z263" i="68"/>
  <c r="AE263" i="68" s="1"/>
  <c r="Z285" i="68"/>
  <c r="AE285" i="68"/>
  <c r="AC228" i="68"/>
  <c r="AH228" i="68" s="1"/>
  <c r="AC232" i="68"/>
  <c r="Z219" i="68"/>
  <c r="AE219" i="68" s="1"/>
  <c r="AC218" i="68"/>
  <c r="AH218" i="68"/>
  <c r="Z240" i="68"/>
  <c r="AE240" i="68" s="1"/>
  <c r="AC247" i="68"/>
  <c r="AH247" i="68" s="1"/>
  <c r="Z241" i="68"/>
  <c r="AE241" i="68"/>
  <c r="Z259" i="68"/>
  <c r="AE259" i="68" s="1"/>
  <c r="Z274" i="68"/>
  <c r="AE274" i="68" s="1"/>
  <c r="AC268" i="68"/>
  <c r="AH268" i="68"/>
  <c r="Z266" i="68"/>
  <c r="AE266" i="68" s="1"/>
  <c r="AC274" i="68"/>
  <c r="AH274" i="68" s="1"/>
  <c r="Z261" i="68"/>
  <c r="AE261" i="68"/>
  <c r="AC267" i="68"/>
  <c r="AH267" i="68" s="1"/>
  <c r="Z258" i="68"/>
  <c r="AE258" i="68" s="1"/>
  <c r="Z290" i="68"/>
  <c r="AE290" i="68"/>
  <c r="Z283" i="68"/>
  <c r="AE283" i="68" s="1"/>
  <c r="AC286" i="68"/>
  <c r="AH286" i="68" s="1"/>
  <c r="AC285" i="68"/>
  <c r="AH285" i="68"/>
  <c r="AC283" i="68"/>
  <c r="AH283" i="68" s="1"/>
  <c r="AC284" i="68"/>
  <c r="AH284" i="68" s="1"/>
  <c r="Z281" i="68"/>
  <c r="AE281" i="68"/>
  <c r="AC291" i="68"/>
  <c r="AH291" i="68" s="1"/>
  <c r="AC203" i="68"/>
  <c r="AH203" i="68" s="1"/>
  <c r="Z227" i="68"/>
  <c r="AE227" i="68" s="1"/>
  <c r="AC256" i="68"/>
  <c r="AC281" i="68"/>
  <c r="AH281" i="68"/>
  <c r="Z251" i="68"/>
  <c r="AE251" i="68" s="1"/>
  <c r="AC273" i="68"/>
  <c r="AH273" i="68"/>
  <c r="Z230" i="68"/>
  <c r="AE230" i="68"/>
  <c r="Y173" i="68"/>
  <c r="AC314" i="68"/>
  <c r="AH314" i="68"/>
  <c r="Z70" i="68"/>
  <c r="AE70" i="68"/>
  <c r="AC220" i="68"/>
  <c r="AH220" i="68" s="1"/>
  <c r="Z245" i="68"/>
  <c r="AE245" i="68"/>
  <c r="AC230" i="68"/>
  <c r="AH230" i="68" s="1"/>
  <c r="Z202" i="68"/>
  <c r="AE202" i="68" s="1"/>
  <c r="AC200" i="68"/>
  <c r="AH200" i="68" s="1"/>
  <c r="Z235" i="68"/>
  <c r="Z228" i="68"/>
  <c r="AE228" i="68" s="1"/>
  <c r="Z217" i="68"/>
  <c r="AE217" i="68" s="1"/>
  <c r="AC217" i="68"/>
  <c r="AH217" i="68" s="1"/>
  <c r="AC224" i="68"/>
  <c r="AH224" i="68"/>
  <c r="AC223" i="68"/>
  <c r="AH223" i="68" s="1"/>
  <c r="AC237" i="68"/>
  <c r="AH237" i="68" s="1"/>
  <c r="AC240" i="68"/>
  <c r="AH240" i="68"/>
  <c r="AC277" i="68"/>
  <c r="AC259" i="68"/>
  <c r="AH259" i="68"/>
  <c r="Z265" i="68"/>
  <c r="AE265" i="68"/>
  <c r="Z270" i="68"/>
  <c r="AE270" i="68" s="1"/>
  <c r="Z260" i="68"/>
  <c r="AE260" i="68"/>
  <c r="AC258" i="68"/>
  <c r="AH258" i="68"/>
  <c r="AC288" i="68"/>
  <c r="AH288" i="68" s="1"/>
  <c r="Z279" i="68"/>
  <c r="AE279" i="68"/>
  <c r="Z295" i="68"/>
  <c r="AE295" i="68"/>
  <c r="Z298" i="68"/>
  <c r="AC207" i="68"/>
  <c r="AH207" i="68" s="1"/>
  <c r="Z220" i="68"/>
  <c r="AE220" i="68"/>
  <c r="AC238" i="68"/>
  <c r="AH238" i="68"/>
  <c r="AC239" i="68"/>
  <c r="AH239" i="68" s="1"/>
  <c r="AC245" i="68"/>
  <c r="AH245" i="68"/>
  <c r="Z247" i="68"/>
  <c r="AE247" i="68"/>
  <c r="Z288" i="68"/>
  <c r="AE288" i="68"/>
  <c r="AC298" i="68"/>
  <c r="Z286" i="68"/>
  <c r="AE286" i="68" s="1"/>
  <c r="Z101" i="68"/>
  <c r="AE101" i="68"/>
  <c r="Z92" i="68"/>
  <c r="AE92" i="68" s="1"/>
  <c r="X110" i="68"/>
  <c r="Z267" i="68"/>
  <c r="AE267" i="68"/>
  <c r="AC295" i="68"/>
  <c r="AC335" i="68"/>
  <c r="AH335" i="68"/>
  <c r="X236" i="68"/>
  <c r="Y278" i="68"/>
  <c r="AC97" i="68"/>
  <c r="AH97" i="68" s="1"/>
  <c r="AC293" i="68"/>
  <c r="AH293" i="68"/>
  <c r="V236" i="68"/>
  <c r="AC252" i="68"/>
  <c r="AH252" i="68"/>
  <c r="AC96" i="68"/>
  <c r="AH96" i="68"/>
  <c r="AC90" i="68"/>
  <c r="AH90" i="68"/>
  <c r="Z102" i="68"/>
  <c r="AE102" i="68" s="1"/>
  <c r="Z100" i="68"/>
  <c r="AE100" i="68"/>
  <c r="AC101" i="68"/>
  <c r="AH101" i="68"/>
  <c r="Z109" i="68"/>
  <c r="Z110" i="68" s="1"/>
  <c r="Z94" i="68"/>
  <c r="AE94" i="68" s="1"/>
  <c r="AC104" i="68"/>
  <c r="AH104" i="68" s="1"/>
  <c r="Z103" i="68"/>
  <c r="AE103" i="68"/>
  <c r="AC95" i="68"/>
  <c r="AH95" i="68" s="1"/>
  <c r="Z98" i="68"/>
  <c r="AE98" i="68" s="1"/>
  <c r="U110" i="68"/>
  <c r="Z96" i="68"/>
  <c r="AE96" i="68" s="1"/>
  <c r="AC28" i="68"/>
  <c r="AH28" i="68"/>
  <c r="Z221" i="68"/>
  <c r="AE221" i="68" s="1"/>
  <c r="AC227" i="68"/>
  <c r="AH227" i="68"/>
  <c r="AC246" i="68"/>
  <c r="AH246" i="68" s="1"/>
  <c r="Z243" i="68"/>
  <c r="AE243" i="68" s="1"/>
  <c r="AC253" i="68"/>
  <c r="AH253" i="68"/>
  <c r="AI248" i="68"/>
  <c r="AC248" i="68"/>
  <c r="AH248" i="68"/>
  <c r="AC280" i="68"/>
  <c r="AH280" i="68"/>
  <c r="Z287" i="68"/>
  <c r="AE287" i="68"/>
  <c r="Z312" i="68"/>
  <c r="AE312" i="68"/>
  <c r="Z308" i="68"/>
  <c r="AE308" i="68"/>
  <c r="Z316" i="68"/>
  <c r="AE316" i="68" s="1"/>
  <c r="Z303" i="68"/>
  <c r="AE303" i="68"/>
  <c r="AC311" i="68"/>
  <c r="AH311" i="68"/>
  <c r="AC312" i="68"/>
  <c r="AH312" i="68" s="1"/>
  <c r="Z301" i="68"/>
  <c r="AE301" i="68" s="1"/>
  <c r="AC242" i="68"/>
  <c r="Z222" i="68"/>
  <c r="AE222" i="68"/>
  <c r="AC303" i="68"/>
  <c r="AH303" i="68"/>
  <c r="Y26" i="68"/>
  <c r="V26" i="68"/>
  <c r="X47" i="68"/>
  <c r="V68" i="68"/>
  <c r="Y68" i="68"/>
  <c r="Z53" i="68"/>
  <c r="AE53" i="68"/>
  <c r="Z172" i="68"/>
  <c r="U152" i="68"/>
  <c r="Z134" i="68"/>
  <c r="Z144" i="68"/>
  <c r="AE144" i="68" s="1"/>
  <c r="AC139" i="68"/>
  <c r="AH139" i="68"/>
  <c r="AC137" i="68"/>
  <c r="AH137" i="68" s="1"/>
  <c r="AC143" i="68"/>
  <c r="AH143" i="68" s="1"/>
  <c r="Z135" i="68"/>
  <c r="AE135" i="68"/>
  <c r="Z139" i="68"/>
  <c r="AC133" i="68"/>
  <c r="AH133" i="68" s="1"/>
  <c r="Z137" i="68"/>
  <c r="AE137" i="68"/>
  <c r="AC144" i="68"/>
  <c r="Z142" i="68"/>
  <c r="AE142" i="68" s="1"/>
  <c r="Z133" i="68"/>
  <c r="AE133" i="68" s="1"/>
  <c r="AC138" i="68"/>
  <c r="AH138" i="68" s="1"/>
  <c r="Z140" i="68"/>
  <c r="AE140" i="68" s="1"/>
  <c r="AC142" i="68"/>
  <c r="AH142" i="68"/>
  <c r="Z138" i="68"/>
  <c r="AE138" i="68" s="1"/>
  <c r="AC141" i="68"/>
  <c r="AH141" i="68" s="1"/>
  <c r="AC151" i="68"/>
  <c r="X152" i="68"/>
  <c r="Z143" i="68"/>
  <c r="AE143" i="68" s="1"/>
  <c r="Z141" i="68"/>
  <c r="AE141" i="68" s="1"/>
  <c r="AC135" i="68"/>
  <c r="AH135" i="68"/>
  <c r="AC148" i="68"/>
  <c r="AH148" i="68" s="1"/>
  <c r="Z151" i="68"/>
  <c r="Z136" i="68"/>
  <c r="AE136" i="68"/>
  <c r="Z148" i="68"/>
  <c r="AE148" i="68" s="1"/>
  <c r="Z132" i="68"/>
  <c r="AE132" i="68"/>
  <c r="AC136" i="68"/>
  <c r="AH136" i="68"/>
  <c r="AC134" i="68"/>
  <c r="AH134" i="68" s="1"/>
  <c r="AC140" i="68"/>
  <c r="AH140" i="68"/>
  <c r="AC132" i="68"/>
  <c r="AH132" i="68"/>
  <c r="AC147" i="68"/>
  <c r="AH147" i="68"/>
  <c r="AC113" i="68"/>
  <c r="AH113" i="68"/>
  <c r="AC121" i="68"/>
  <c r="AH121" i="68"/>
  <c r="Z114" i="68"/>
  <c r="AE114" i="68" s="1"/>
  <c r="Z124" i="68"/>
  <c r="AE124" i="68"/>
  <c r="AC99" i="68"/>
  <c r="AH99" i="68"/>
  <c r="Z95" i="68"/>
  <c r="AE95" i="68"/>
  <c r="Z93" i="68"/>
  <c r="AE93" i="68"/>
  <c r="AC94" i="68"/>
  <c r="AH94" i="68"/>
  <c r="Z90" i="68"/>
  <c r="AE90" i="68" s="1"/>
  <c r="AC109" i="68"/>
  <c r="AC93" i="68"/>
  <c r="AH93" i="68" s="1"/>
  <c r="Z99" i="68"/>
  <c r="AE99" i="68" s="1"/>
  <c r="AC106" i="68"/>
  <c r="AH106" i="68" s="1"/>
  <c r="AC98" i="68"/>
  <c r="AH98" i="68" s="1"/>
  <c r="Z91" i="68"/>
  <c r="AE91" i="68"/>
  <c r="AC91" i="68"/>
  <c r="AH91" i="68" s="1"/>
  <c r="Z97" i="68"/>
  <c r="AE97" i="68" s="1"/>
  <c r="AC100" i="68"/>
  <c r="AH100" i="68"/>
  <c r="AC92" i="68"/>
  <c r="AC102" i="68"/>
  <c r="AH102" i="68"/>
  <c r="Z106" i="68"/>
  <c r="AE106" i="68"/>
  <c r="Z84" i="68"/>
  <c r="AE84" i="68" s="1"/>
  <c r="AC78" i="68"/>
  <c r="AH78" i="68"/>
  <c r="Z75" i="68"/>
  <c r="AE75" i="68"/>
  <c r="Z74" i="68"/>
  <c r="AE74" i="68"/>
  <c r="Z79" i="68"/>
  <c r="AE79" i="68"/>
  <c r="Z73" i="68"/>
  <c r="AE73" i="68"/>
  <c r="AC83" i="68"/>
  <c r="AH83" i="68" s="1"/>
  <c r="AC77" i="68"/>
  <c r="AH77" i="68"/>
  <c r="Z49" i="68"/>
  <c r="AE49" i="68"/>
  <c r="AC51" i="68"/>
  <c r="AH51" i="68" s="1"/>
  <c r="Z56" i="68"/>
  <c r="AE56" i="68"/>
  <c r="U68" i="68"/>
  <c r="X68" i="68"/>
  <c r="Z55" i="68"/>
  <c r="AE55" i="68" s="1"/>
  <c r="Z58" i="68"/>
  <c r="AE58" i="68"/>
  <c r="Z50" i="68"/>
  <c r="AE50" i="68"/>
  <c r="Z52" i="68"/>
  <c r="AE52" i="68" s="1"/>
  <c r="AC64" i="68"/>
  <c r="AH64" i="68"/>
  <c r="Z57" i="68"/>
  <c r="AE57" i="68"/>
  <c r="AC49" i="68"/>
  <c r="AH49" i="68" s="1"/>
  <c r="AC58" i="68"/>
  <c r="AH58" i="68"/>
  <c r="AC67" i="68"/>
  <c r="AC53" i="68"/>
  <c r="AH53" i="68" s="1"/>
  <c r="Z64" i="68"/>
  <c r="AE64" i="68" s="1"/>
  <c r="Z51" i="68"/>
  <c r="AE51" i="68" s="1"/>
  <c r="AC54" i="68"/>
  <c r="Z67" i="68"/>
  <c r="AC60" i="68"/>
  <c r="AH60" i="68" s="1"/>
  <c r="AC56" i="68"/>
  <c r="AH56" i="68" s="1"/>
  <c r="Z54" i="68"/>
  <c r="AC57" i="68"/>
  <c r="AH57" i="68"/>
  <c r="Z60" i="68"/>
  <c r="AE60" i="68"/>
  <c r="Z61" i="68"/>
  <c r="AE61" i="68"/>
  <c r="AC48" i="68"/>
  <c r="AH48" i="68" s="1"/>
  <c r="AC55" i="68"/>
  <c r="AH55" i="68"/>
  <c r="AC52" i="68"/>
  <c r="AC50" i="68"/>
  <c r="AH50" i="68" s="1"/>
  <c r="Z59" i="68"/>
  <c r="AE59" i="68" s="1"/>
  <c r="AC59" i="68"/>
  <c r="AH59" i="68" s="1"/>
  <c r="Z48" i="68"/>
  <c r="AE48" i="68"/>
  <c r="AE68" i="68" s="1"/>
  <c r="Z29" i="68"/>
  <c r="AE29" i="68" s="1"/>
  <c r="Z46" i="68"/>
  <c r="Z43" i="68"/>
  <c r="AE43" i="68"/>
  <c r="AC43" i="68"/>
  <c r="AH43" i="68"/>
  <c r="Z39" i="68"/>
  <c r="AE39" i="68"/>
  <c r="Z30" i="68"/>
  <c r="AE30" i="68"/>
  <c r="AC39" i="68"/>
  <c r="AH39" i="68" s="1"/>
  <c r="AC38" i="68"/>
  <c r="AH38" i="68"/>
  <c r="Z40" i="68"/>
  <c r="AE40" i="68"/>
  <c r="Z35" i="68"/>
  <c r="AE35" i="68"/>
  <c r="AC31" i="68"/>
  <c r="AH31" i="68"/>
  <c r="Z36" i="68"/>
  <c r="AE36" i="68"/>
  <c r="U47" i="68"/>
  <c r="AC46" i="68"/>
  <c r="Z41" i="68"/>
  <c r="AE41" i="68"/>
  <c r="Z34" i="68"/>
  <c r="AE34" i="68"/>
  <c r="Z62" i="68"/>
  <c r="AC63" i="68"/>
  <c r="AH63" i="68" s="1"/>
  <c r="AC313" i="68"/>
  <c r="Z315" i="68"/>
  <c r="AE315" i="68"/>
  <c r="AC315" i="68"/>
  <c r="AH315" i="68" s="1"/>
  <c r="Z314" i="68"/>
  <c r="AE314" i="68"/>
  <c r="Z300" i="68"/>
  <c r="Z313" i="68"/>
  <c r="AE313" i="68" s="1"/>
  <c r="Z335" i="68"/>
  <c r="AE335" i="68"/>
  <c r="AC336" i="68"/>
  <c r="Z334" i="68"/>
  <c r="AI145" i="68"/>
  <c r="AD19" i="68"/>
  <c r="AD21" i="68"/>
  <c r="AA21" i="68"/>
  <c r="AA335" i="68"/>
  <c r="AD335" i="68"/>
  <c r="AI335" i="68" s="1"/>
  <c r="AD334" i="68"/>
  <c r="AI334" i="68" s="1"/>
  <c r="AD323" i="68"/>
  <c r="AD336" i="68"/>
  <c r="AI336" i="68"/>
  <c r="AA336" i="68"/>
  <c r="AD314" i="68"/>
  <c r="AI314" i="68" s="1"/>
  <c r="AA315" i="68"/>
  <c r="AF315" i="68" s="1"/>
  <c r="AA308" i="68"/>
  <c r="AA305" i="68"/>
  <c r="AF305" i="68" s="1"/>
  <c r="AD313" i="68"/>
  <c r="AA314" i="68"/>
  <c r="AF314" i="68" s="1"/>
  <c r="AD293" i="68"/>
  <c r="AI293" i="68"/>
  <c r="AD292" i="68"/>
  <c r="AI292" i="68" s="1"/>
  <c r="AA293" i="68"/>
  <c r="AF293" i="68" s="1"/>
  <c r="AA294" i="68"/>
  <c r="AF294" i="68"/>
  <c r="AD273" i="68"/>
  <c r="AI273" i="68"/>
  <c r="AD272" i="68"/>
  <c r="AA273" i="68"/>
  <c r="AF273" i="68" s="1"/>
  <c r="AA271" i="68"/>
  <c r="AA272" i="68"/>
  <c r="AA250" i="68"/>
  <c r="AD250" i="68"/>
  <c r="AD252" i="68"/>
  <c r="AI252" i="68" s="1"/>
  <c r="AA252" i="68"/>
  <c r="AF252" i="68" s="1"/>
  <c r="AA251" i="68"/>
  <c r="AF251" i="68" s="1"/>
  <c r="AA229" i="68"/>
  <c r="AF229" i="68" s="1"/>
  <c r="AD231" i="68"/>
  <c r="AI231" i="68"/>
  <c r="AA231" i="68"/>
  <c r="AF231" i="68" s="1"/>
  <c r="AD229" i="68"/>
  <c r="AI229" i="68" s="1"/>
  <c r="AD209" i="68"/>
  <c r="AA209" i="68"/>
  <c r="AD210" i="68"/>
  <c r="AI210" i="68"/>
  <c r="AA210" i="68"/>
  <c r="AF210" i="68"/>
  <c r="AD189" i="68"/>
  <c r="AI189" i="68"/>
  <c r="AA177" i="68"/>
  <c r="AF177" i="68" s="1"/>
  <c r="AD187" i="68"/>
  <c r="AA187" i="68"/>
  <c r="AF187" i="68" s="1"/>
  <c r="AA189" i="68"/>
  <c r="AF189" i="68" s="1"/>
  <c r="AA167" i="68"/>
  <c r="AF167" i="68" s="1"/>
  <c r="AD167" i="68"/>
  <c r="AA168" i="68"/>
  <c r="AF168" i="68"/>
  <c r="AD168" i="68"/>
  <c r="AI168" i="68" s="1"/>
  <c r="AA147" i="68"/>
  <c r="AF147" i="68" s="1"/>
  <c r="AA146" i="68"/>
  <c r="AF146" i="68" s="1"/>
  <c r="AD147" i="68"/>
  <c r="AI147" i="68" s="1"/>
  <c r="AA145" i="68"/>
  <c r="AF145" i="68" s="1"/>
  <c r="AD146" i="68"/>
  <c r="AD124" i="68"/>
  <c r="AI124" i="68" s="1"/>
  <c r="AA126" i="68"/>
  <c r="AA124" i="68"/>
  <c r="AD125" i="68"/>
  <c r="AI125" i="68" s="1"/>
  <c r="AA125" i="68"/>
  <c r="AF125" i="68" s="1"/>
  <c r="AD126" i="68"/>
  <c r="AI126" i="68" s="1"/>
  <c r="AA104" i="68"/>
  <c r="AF104" i="68" s="1"/>
  <c r="AD105" i="68"/>
  <c r="AI105" i="68" s="1"/>
  <c r="AA103" i="68"/>
  <c r="AD104" i="68"/>
  <c r="AI104" i="68" s="1"/>
  <c r="AD83" i="68"/>
  <c r="AI83" i="68"/>
  <c r="AA83" i="68"/>
  <c r="AD82" i="68"/>
  <c r="AI82" i="68" s="1"/>
  <c r="AD84" i="68"/>
  <c r="AI84" i="68" s="1"/>
  <c r="AA61" i="68"/>
  <c r="AA62" i="68"/>
  <c r="AF62" i="68"/>
  <c r="AD60" i="68"/>
  <c r="AI60" i="68" s="1"/>
  <c r="AA54" i="68"/>
  <c r="AD63" i="68"/>
  <c r="AI63" i="68"/>
  <c r="AD62" i="68"/>
  <c r="AI62" i="68"/>
  <c r="AD41" i="68"/>
  <c r="AI41" i="68" s="1"/>
  <c r="AA41" i="68"/>
  <c r="AF41" i="68"/>
  <c r="AD40" i="68"/>
  <c r="AI40" i="68"/>
  <c r="AA46" i="68"/>
  <c r="AD42" i="68"/>
  <c r="AI42" i="68" s="1"/>
  <c r="AC76" i="68"/>
  <c r="AH76" i="68" s="1"/>
  <c r="AC62" i="68"/>
  <c r="AH62" i="68" s="1"/>
  <c r="Z145" i="68"/>
  <c r="AE145" i="68" s="1"/>
  <c r="Z336" i="68"/>
  <c r="AE336" i="68" s="1"/>
  <c r="AC146" i="68"/>
  <c r="AH146" i="68"/>
  <c r="Z147" i="68"/>
  <c r="AE147" i="68" s="1"/>
  <c r="Z119" i="68"/>
  <c r="AE119" i="68" s="1"/>
  <c r="Z104" i="68"/>
  <c r="AC103" i="68"/>
  <c r="AC110" i="68" s="1"/>
  <c r="Z105" i="68"/>
  <c r="AC105" i="68"/>
  <c r="AH105" i="68"/>
  <c r="AC42" i="68"/>
  <c r="AH42" i="68"/>
  <c r="Z63" i="68"/>
  <c r="AE63" i="68" s="1"/>
  <c r="AC61" i="68"/>
  <c r="AH61" i="68"/>
  <c r="U194" i="68"/>
  <c r="AC209" i="68"/>
  <c r="AH209" i="68" s="1"/>
  <c r="Z210" i="68"/>
  <c r="AE210" i="68" s="1"/>
  <c r="AC229" i="68"/>
  <c r="AH229" i="68" s="1"/>
  <c r="AC231" i="68"/>
  <c r="AH231" i="68" s="1"/>
  <c r="Z229" i="68"/>
  <c r="Z252" i="68"/>
  <c r="AE252" i="68" s="1"/>
  <c r="AC251" i="68"/>
  <c r="AH251" i="68" s="1"/>
  <c r="Z250" i="68"/>
  <c r="AC272" i="68"/>
  <c r="AH272" i="68" s="1"/>
  <c r="Z269" i="68"/>
  <c r="Z273" i="68"/>
  <c r="AE273" i="68"/>
  <c r="AC271" i="68"/>
  <c r="Z271" i="68"/>
  <c r="AE271" i="68"/>
  <c r="Z272" i="68"/>
  <c r="AE272" i="68"/>
  <c r="AC292" i="68"/>
  <c r="Z292" i="68"/>
  <c r="AC294" i="68"/>
  <c r="AH294" i="68" s="1"/>
  <c r="Z294" i="68"/>
  <c r="AE294" i="68" s="1"/>
  <c r="Z146" i="68"/>
  <c r="AE146" i="68"/>
  <c r="AC208" i="68"/>
  <c r="AH208" i="68" s="1"/>
  <c r="AC250" i="68"/>
  <c r="Z7" i="68"/>
  <c r="U89" i="68"/>
  <c r="Z69" i="68"/>
  <c r="AE69" i="68" s="1"/>
  <c r="X89" i="68"/>
  <c r="AC33" i="68"/>
  <c r="AH33" i="68" s="1"/>
  <c r="AC193" i="68"/>
  <c r="Z181" i="68"/>
  <c r="AE181" i="68" s="1"/>
  <c r="Z185" i="68"/>
  <c r="AE185" i="68" s="1"/>
  <c r="Z183" i="68"/>
  <c r="AE183" i="68" s="1"/>
  <c r="Z186" i="68"/>
  <c r="AE186" i="68" s="1"/>
  <c r="AC174" i="68"/>
  <c r="Z177" i="68"/>
  <c r="AE177" i="68"/>
  <c r="AC188" i="68"/>
  <c r="AH188" i="68" s="1"/>
  <c r="Z189" i="68"/>
  <c r="AE189" i="68"/>
  <c r="AC185" i="68"/>
  <c r="AH185" i="68"/>
  <c r="Z184" i="68"/>
  <c r="AE184" i="68" s="1"/>
  <c r="AC190" i="68"/>
  <c r="AH190" i="68" s="1"/>
  <c r="AC182" i="68"/>
  <c r="AH182" i="68" s="1"/>
  <c r="AC189" i="68"/>
  <c r="AH189" i="68" s="1"/>
  <c r="AC187" i="68"/>
  <c r="AH187" i="68" s="1"/>
  <c r="AC175" i="68"/>
  <c r="Z193" i="68"/>
  <c r="Z179" i="68"/>
  <c r="AE179" i="68" s="1"/>
  <c r="Z176" i="68"/>
  <c r="AE176" i="68"/>
  <c r="AC177" i="68"/>
  <c r="AH177" i="68" s="1"/>
  <c r="Z182" i="68"/>
  <c r="AE182" i="68" s="1"/>
  <c r="AC178" i="68"/>
  <c r="AH178" i="68"/>
  <c r="Z153" i="68"/>
  <c r="Z165" i="68"/>
  <c r="AE165" i="68" s="1"/>
  <c r="Z161" i="68"/>
  <c r="AE161" i="68" s="1"/>
  <c r="Z169" i="68"/>
  <c r="AE169" i="68"/>
  <c r="AC169" i="68"/>
  <c r="AH169" i="68" s="1"/>
  <c r="AC154" i="68"/>
  <c r="AH154" i="68" s="1"/>
  <c r="X173" i="68"/>
  <c r="Z162" i="68"/>
  <c r="AE162" i="68" s="1"/>
  <c r="AC155" i="68"/>
  <c r="AH155" i="68" s="1"/>
  <c r="AC165" i="68"/>
  <c r="AH165" i="68" s="1"/>
  <c r="AC159" i="68"/>
  <c r="AH159" i="68" s="1"/>
  <c r="AC157" i="68"/>
  <c r="AH157" i="68"/>
  <c r="Z156" i="68"/>
  <c r="AE156" i="68" s="1"/>
  <c r="Z158" i="68"/>
  <c r="AE158" i="68"/>
  <c r="Z159" i="68"/>
  <c r="AE159" i="68" s="1"/>
  <c r="Z164" i="68"/>
  <c r="AE164" i="68"/>
  <c r="AC156" i="68"/>
  <c r="AH156" i="68" s="1"/>
  <c r="Z155" i="68"/>
  <c r="AE155" i="68" s="1"/>
  <c r="AC172" i="68"/>
  <c r="AC166" i="68"/>
  <c r="AH166" i="68" s="1"/>
  <c r="U173" i="68"/>
  <c r="AC117" i="68"/>
  <c r="AH117" i="68"/>
  <c r="AC115" i="68"/>
  <c r="AH115" i="68"/>
  <c r="Z130" i="68"/>
  <c r="AC125" i="68"/>
  <c r="AH125" i="68" s="1"/>
  <c r="AC116" i="68"/>
  <c r="Z120" i="68"/>
  <c r="AE120" i="68" s="1"/>
  <c r="Z112" i="68"/>
  <c r="AE112" i="68" s="1"/>
  <c r="Z123" i="68"/>
  <c r="AE123" i="68"/>
  <c r="AC114" i="68"/>
  <c r="AH114" i="68"/>
  <c r="AC120" i="68"/>
  <c r="AH120" i="68" s="1"/>
  <c r="X131" i="68"/>
  <c r="U131" i="68"/>
  <c r="AC119" i="68"/>
  <c r="AH119" i="68"/>
  <c r="Z118" i="68"/>
  <c r="AE118" i="68" s="1"/>
  <c r="AC123" i="68"/>
  <c r="AH123" i="68"/>
  <c r="AC111" i="68"/>
  <c r="AC124" i="68"/>
  <c r="AH124" i="68" s="1"/>
  <c r="Z126" i="68"/>
  <c r="AE126" i="68" s="1"/>
  <c r="AC126" i="68"/>
  <c r="AH126" i="68"/>
  <c r="AC118" i="68"/>
  <c r="AH118" i="68"/>
  <c r="Z111" i="68"/>
  <c r="Z122" i="68"/>
  <c r="AE122" i="68"/>
  <c r="AC127" i="68"/>
  <c r="AH127" i="68"/>
  <c r="Z125" i="68"/>
  <c r="AE125" i="68" s="1"/>
  <c r="Z117" i="68"/>
  <c r="Z113" i="68"/>
  <c r="AE113" i="68"/>
  <c r="Z127" i="68"/>
  <c r="AE127" i="68" s="1"/>
  <c r="Z115" i="68"/>
  <c r="AE115" i="68" s="1"/>
  <c r="Z121" i="68"/>
  <c r="AE121" i="68" s="1"/>
  <c r="AC130" i="68"/>
  <c r="AC122" i="68"/>
  <c r="AH122" i="68" s="1"/>
  <c r="Z116" i="68"/>
  <c r="AE116" i="68"/>
  <c r="AC112" i="68"/>
  <c r="AH112" i="68" s="1"/>
  <c r="Z72" i="68"/>
  <c r="AE72" i="68"/>
  <c r="AC74" i="68"/>
  <c r="AH74" i="68"/>
  <c r="AC69" i="68"/>
  <c r="Z78" i="68"/>
  <c r="AE78" i="68" s="1"/>
  <c r="Z76" i="68"/>
  <c r="AE76" i="68" s="1"/>
  <c r="Z88" i="68"/>
  <c r="AC85" i="68"/>
  <c r="AH85" i="68" s="1"/>
  <c r="AC82" i="68"/>
  <c r="AH82" i="68"/>
  <c r="AC73" i="68"/>
  <c r="AH73" i="68"/>
  <c r="Z81" i="68"/>
  <c r="AE81" i="68" s="1"/>
  <c r="AC70" i="68"/>
  <c r="AH70" i="68"/>
  <c r="Z80" i="68"/>
  <c r="AE80" i="68" s="1"/>
  <c r="Z85" i="68"/>
  <c r="AE85" i="68" s="1"/>
  <c r="AC84" i="68"/>
  <c r="AH84" i="68"/>
  <c r="Z83" i="68"/>
  <c r="AE83" i="68" s="1"/>
  <c r="Z82" i="68"/>
  <c r="AE82" i="68" s="1"/>
  <c r="AC81" i="68"/>
  <c r="AH81" i="68"/>
  <c r="AC88" i="68"/>
  <c r="Z77" i="68"/>
  <c r="AE77" i="68" s="1"/>
  <c r="AC79" i="68"/>
  <c r="AH79" i="68" s="1"/>
  <c r="Z71" i="68"/>
  <c r="AE71" i="68"/>
  <c r="AC75" i="68"/>
  <c r="AH75" i="68" s="1"/>
  <c r="AC71" i="68"/>
  <c r="AH71" i="68" s="1"/>
  <c r="AC72" i="68"/>
  <c r="AH72" i="68" s="1"/>
  <c r="Z32" i="68"/>
  <c r="AE32" i="68"/>
  <c r="AC34" i="68"/>
  <c r="AH34" i="68"/>
  <c r="AC27" i="68"/>
  <c r="Z27" i="68"/>
  <c r="AC30" i="68"/>
  <c r="AH30" i="68"/>
  <c r="Z31" i="68"/>
  <c r="AC35" i="68"/>
  <c r="AH35" i="68"/>
  <c r="Z33" i="68"/>
  <c r="AC41" i="68"/>
  <c r="AH41" i="68" s="1"/>
  <c r="Z42" i="68"/>
  <c r="AE42" i="68"/>
  <c r="AC40" i="68"/>
  <c r="AH40" i="68" s="1"/>
  <c r="AC36" i="68"/>
  <c r="AH36" i="68"/>
  <c r="Z28" i="68"/>
  <c r="AE28" i="68" s="1"/>
  <c r="AC32" i="68"/>
  <c r="AC47" i="68" s="1"/>
  <c r="AH32" i="68"/>
  <c r="Z38" i="68"/>
  <c r="AC37" i="68"/>
  <c r="AH37" i="68" s="1"/>
  <c r="AC29" i="68"/>
  <c r="AH29" i="68"/>
  <c r="Z37" i="68"/>
  <c r="AE37" i="68" s="1"/>
  <c r="AC19" i="68"/>
  <c r="Z20" i="68"/>
  <c r="AE20" i="68" s="1"/>
  <c r="Z21" i="68"/>
  <c r="AE21" i="68"/>
  <c r="AC8" i="68"/>
  <c r="AH8" i="68" s="1"/>
  <c r="Z18" i="68"/>
  <c r="AE18" i="68" s="1"/>
  <c r="Z17" i="68"/>
  <c r="AE17" i="68" s="1"/>
  <c r="AC20" i="68"/>
  <c r="AH20" i="68" s="1"/>
  <c r="Z25" i="68"/>
  <c r="Z15" i="68"/>
  <c r="AE15" i="68" s="1"/>
  <c r="Z8" i="68"/>
  <c r="AE8" i="68" s="1"/>
  <c r="Z14" i="68"/>
  <c r="AE14" i="68"/>
  <c r="Z22" i="68"/>
  <c r="AE22" i="68" s="1"/>
  <c r="Z6" i="68"/>
  <c r="AC18" i="68"/>
  <c r="AC9" i="68"/>
  <c r="AC14" i="68"/>
  <c r="AH14" i="68" s="1"/>
  <c r="U26" i="68"/>
  <c r="Z9" i="68"/>
  <c r="X26" i="68"/>
  <c r="Z19" i="68"/>
  <c r="AE19" i="68"/>
  <c r="AC17" i="68"/>
  <c r="AH17" i="68" s="1"/>
  <c r="AC11" i="68"/>
  <c r="AH11" i="68" s="1"/>
  <c r="AC22" i="68"/>
  <c r="AH22" i="68" s="1"/>
  <c r="AH26" i="68" s="1"/>
  <c r="AC6" i="68"/>
  <c r="AC13" i="68"/>
  <c r="Z16" i="68"/>
  <c r="Z11" i="68"/>
  <c r="Z12" i="68"/>
  <c r="AC15" i="68"/>
  <c r="AH15" i="68" s="1"/>
  <c r="AC12" i="68"/>
  <c r="AH12" i="68" s="1"/>
  <c r="Z10" i="68"/>
  <c r="AE10" i="68" s="1"/>
  <c r="AC7" i="68"/>
  <c r="AH7" i="68" s="1"/>
  <c r="Z13" i="68"/>
  <c r="AE13" i="68" s="1"/>
  <c r="AC10" i="68"/>
  <c r="AH10" i="68" s="1"/>
  <c r="AC25" i="68"/>
  <c r="AC16" i="68"/>
  <c r="AH16" i="68" s="1"/>
  <c r="AC21" i="68"/>
  <c r="AC145" i="68"/>
  <c r="Z208" i="68"/>
  <c r="AE208" i="68"/>
  <c r="AF300" i="68"/>
  <c r="AH300" i="68"/>
  <c r="Z362" i="68"/>
  <c r="AI362" i="68"/>
  <c r="AH342" i="68"/>
  <c r="AA362" i="68"/>
  <c r="AD362" i="68"/>
  <c r="AI321" i="68"/>
  <c r="AF344" i="68"/>
  <c r="AE343" i="68"/>
  <c r="AE362" i="68" s="1"/>
  <c r="AI182" i="68"/>
  <c r="AF52" i="68"/>
  <c r="AH250" i="68"/>
  <c r="AH292" i="68"/>
  <c r="AE104" i="68"/>
  <c r="AF83" i="68"/>
  <c r="AF209" i="68"/>
  <c r="AF271" i="68"/>
  <c r="AI323" i="68"/>
  <c r="AF21" i="68"/>
  <c r="AE62" i="68"/>
  <c r="AE269" i="68"/>
  <c r="AF61" i="68"/>
  <c r="AF68" i="68" s="1"/>
  <c r="AF124" i="68"/>
  <c r="AI209" i="68"/>
  <c r="AI250" i="68"/>
  <c r="AI313" i="68"/>
  <c r="AI21" i="68"/>
  <c r="AE334" i="68"/>
  <c r="AE229" i="68"/>
  <c r="AF54" i="68"/>
  <c r="AF250" i="68"/>
  <c r="AI272" i="68"/>
  <c r="AI146" i="68"/>
  <c r="AH336" i="68"/>
  <c r="AE300" i="68"/>
  <c r="AH313" i="68"/>
  <c r="AE292" i="68"/>
  <c r="AH271" i="68"/>
  <c r="AE250" i="68"/>
  <c r="AH103" i="68"/>
  <c r="AF103" i="68"/>
  <c r="AI167" i="68"/>
  <c r="AI187" i="68"/>
  <c r="AF308" i="68"/>
  <c r="AF335" i="68"/>
  <c r="AH174" i="68"/>
  <c r="AH111" i="68"/>
  <c r="Z89" i="68"/>
  <c r="AE27" i="68"/>
  <c r="AE47" i="68" s="1"/>
  <c r="AH27" i="68"/>
  <c r="AE12" i="68"/>
  <c r="AH13" i="68"/>
  <c r="AH21" i="68"/>
  <c r="AH9" i="68"/>
  <c r="AH145" i="68"/>
  <c r="AF134" i="68"/>
  <c r="AF283" i="68"/>
  <c r="AF16" i="68"/>
  <c r="AH282" i="68"/>
  <c r="AI6" i="68"/>
  <c r="AH54" i="68"/>
  <c r="AI51" i="68"/>
  <c r="AI204" i="68"/>
  <c r="AH322" i="68"/>
  <c r="AH92" i="68"/>
  <c r="AF13" i="68"/>
  <c r="AF69" i="68"/>
  <c r="AE33" i="68"/>
  <c r="AI53" i="68"/>
  <c r="AF50" i="68"/>
  <c r="AA68" i="68"/>
  <c r="Q206" i="40"/>
  <c r="Q221" i="40"/>
  <c r="Q124" i="40"/>
  <c r="Q201" i="40"/>
  <c r="Q207" i="40"/>
  <c r="Q77" i="40"/>
  <c r="AE134" i="68"/>
  <c r="AI19" i="68"/>
  <c r="AE7" i="68"/>
  <c r="AE11" i="68"/>
  <c r="AE38" i="68"/>
  <c r="AF336" i="68"/>
  <c r="AF18" i="68"/>
  <c r="AI230" i="68"/>
  <c r="AH331" i="68"/>
  <c r="AE16" i="68"/>
  <c r="AH269" i="68"/>
  <c r="AH18" i="68"/>
  <c r="AE284" i="68"/>
  <c r="Z299" i="68"/>
  <c r="AH6" i="68"/>
  <c r="AE6" i="68"/>
  <c r="AH116" i="68"/>
  <c r="AC131" i="68"/>
  <c r="AE54" i="68"/>
  <c r="Z68" i="68"/>
  <c r="AE31" i="68"/>
  <c r="Z47" i="68"/>
  <c r="AE117" i="68"/>
  <c r="AI55" i="68"/>
  <c r="AF32" i="68"/>
  <c r="AF126" i="68"/>
  <c r="AF272" i="68"/>
  <c r="AH232" i="68"/>
  <c r="AE248" i="68"/>
  <c r="AE329" i="68"/>
  <c r="AH19" i="68"/>
  <c r="AF82" i="68"/>
  <c r="AE105" i="68"/>
  <c r="AH52" i="68"/>
  <c r="AC68" i="68"/>
  <c r="AH152" i="68"/>
  <c r="AI136" i="68"/>
  <c r="AE9" i="68"/>
  <c r="Q170" i="40"/>
  <c r="AA228" i="75"/>
  <c r="AA211" i="75"/>
  <c r="X194" i="75"/>
  <c r="AA181" i="75"/>
  <c r="AF181" i="75" s="1"/>
  <c r="Y173" i="75"/>
  <c r="AA153" i="75"/>
  <c r="AF153" i="75"/>
  <c r="Z135" i="75"/>
  <c r="V68" i="75"/>
  <c r="AA51" i="75"/>
  <c r="AF51" i="75" s="1"/>
  <c r="AA57" i="75"/>
  <c r="AD48" i="75"/>
  <c r="AD59" i="75"/>
  <c r="AI59" i="75" s="1"/>
  <c r="U47" i="75"/>
  <c r="Y47" i="75"/>
  <c r="Z37" i="75"/>
  <c r="AC31" i="75"/>
  <c r="AH31" i="75"/>
  <c r="Z39" i="75"/>
  <c r="AD13" i="75"/>
  <c r="AC260" i="75"/>
  <c r="U278" i="75"/>
  <c r="Z302" i="75"/>
  <c r="Q193" i="40"/>
  <c r="Q195" i="40"/>
  <c r="Q230" i="40"/>
  <c r="Q75" i="40"/>
  <c r="Q78" i="40"/>
  <c r="Q183" i="40"/>
  <c r="Q153" i="40"/>
  <c r="Q101" i="40"/>
  <c r="Q127" i="40"/>
  <c r="Q126" i="40"/>
  <c r="Q204" i="40"/>
  <c r="Q205" i="40"/>
  <c r="Q171" i="40"/>
  <c r="Q110" i="40"/>
  <c r="Q122" i="40"/>
  <c r="Q147" i="40"/>
  <c r="Q87" i="40"/>
  <c r="Q158" i="40"/>
  <c r="Q99" i="40"/>
  <c r="Q131" i="40"/>
  <c r="Q108" i="40"/>
  <c r="Q128" i="40"/>
  <c r="Q203" i="40"/>
  <c r="Q159" i="40"/>
  <c r="Q76" i="40"/>
  <c r="Q202" i="40"/>
  <c r="Q182" i="40"/>
  <c r="Q197" i="40"/>
  <c r="Q196" i="40"/>
  <c r="Q98" i="40"/>
  <c r="Q219" i="40"/>
  <c r="Q134" i="40"/>
  <c r="Q104" i="40"/>
  <c r="Q81" i="40"/>
  <c r="Q229" i="40"/>
  <c r="Q224" i="40"/>
  <c r="Q167" i="40"/>
  <c r="Q113" i="40"/>
  <c r="Q114" i="40"/>
  <c r="Q148" i="40"/>
  <c r="Q160" i="40"/>
  <c r="Q217" i="40"/>
  <c r="Q215" i="40"/>
  <c r="Q92" i="40"/>
  <c r="AD8" i="75"/>
  <c r="AA9" i="75"/>
  <c r="AA15" i="75"/>
  <c r="Z29" i="75"/>
  <c r="Z38" i="75"/>
  <c r="AE38" i="75" s="1"/>
  <c r="AC109" i="75"/>
  <c r="Z130" i="75"/>
  <c r="AC115" i="75"/>
  <c r="AH115" i="75" s="1"/>
  <c r="Z114" i="75"/>
  <c r="AE114" i="75" s="1"/>
  <c r="AC118" i="75"/>
  <c r="Z111" i="75"/>
  <c r="AE111" i="75" s="1"/>
  <c r="Z119" i="75"/>
  <c r="AE119" i="75"/>
  <c r="Z123" i="75"/>
  <c r="AE123" i="75"/>
  <c r="Z92" i="75"/>
  <c r="AC91" i="75"/>
  <c r="AH91" i="75" s="1"/>
  <c r="Z90" i="75"/>
  <c r="AC104" i="75"/>
  <c r="AH104" i="75"/>
  <c r="AH125" i="75"/>
  <c r="Z158" i="75"/>
  <c r="AE158" i="75"/>
  <c r="AC161" i="75"/>
  <c r="AH161" i="75" s="1"/>
  <c r="AC155" i="75"/>
  <c r="Z156" i="75"/>
  <c r="AE156" i="75" s="1"/>
  <c r="AC157" i="75"/>
  <c r="AH157" i="75" s="1"/>
  <c r="Z153" i="75"/>
  <c r="AC167" i="75"/>
  <c r="AH167" i="75" s="1"/>
  <c r="Q82" i="40"/>
  <c r="AD9" i="75"/>
  <c r="AI9" i="75" s="1"/>
  <c r="AD21" i="75"/>
  <c r="AI21" i="75" s="1"/>
  <c r="Z40" i="75"/>
  <c r="AE40" i="75" s="1"/>
  <c r="AD64" i="75"/>
  <c r="AI64" i="75" s="1"/>
  <c r="AA60" i="75"/>
  <c r="AF60" i="75" s="1"/>
  <c r="AC54" i="75"/>
  <c r="Z71" i="75"/>
  <c r="Q218" i="40"/>
  <c r="Q88" i="40"/>
  <c r="Q83" i="40"/>
  <c r="AC148" i="75"/>
  <c r="AH148" i="75" s="1"/>
  <c r="Q176" i="40"/>
  <c r="Q200" i="40"/>
  <c r="Q135" i="40"/>
  <c r="AD16" i="75"/>
  <c r="AA17" i="75"/>
  <c r="AA31" i="75"/>
  <c r="Z99" i="75"/>
  <c r="AE99" i="75"/>
  <c r="Q105" i="40"/>
  <c r="Q133" i="40"/>
  <c r="AA27" i="75"/>
  <c r="AD30" i="75"/>
  <c r="Z52" i="75"/>
  <c r="AE52" i="75"/>
  <c r="AD62" i="75"/>
  <c r="AI62" i="75" s="1"/>
  <c r="X89" i="75"/>
  <c r="AD11" i="75"/>
  <c r="AI11" i="75" s="1"/>
  <c r="AD41" i="75"/>
  <c r="AI41" i="75"/>
  <c r="Z51" i="75"/>
  <c r="AE51" i="75" s="1"/>
  <c r="Q138" i="40"/>
  <c r="X47" i="75"/>
  <c r="AD43" i="75"/>
  <c r="AA48" i="75"/>
  <c r="AF57" i="75"/>
  <c r="Z59" i="75"/>
  <c r="AA13" i="75"/>
  <c r="AD18" i="75"/>
  <c r="AI18" i="75" s="1"/>
  <c r="AA49" i="75"/>
  <c r="AF49" i="75" s="1"/>
  <c r="AC69" i="75"/>
  <c r="AH69" i="75" s="1"/>
  <c r="V110" i="75"/>
  <c r="AD97" i="75"/>
  <c r="AI97" i="75" s="1"/>
  <c r="AA92" i="75"/>
  <c r="AF92" i="75"/>
  <c r="AD90" i="75"/>
  <c r="AA101" i="75"/>
  <c r="AF101" i="75" s="1"/>
  <c r="AD100" i="75"/>
  <c r="AA93" i="75"/>
  <c r="AF93" i="75"/>
  <c r="Z105" i="75"/>
  <c r="AE105" i="75"/>
  <c r="Z124" i="75"/>
  <c r="AE124" i="75" s="1"/>
  <c r="Q144" i="40"/>
  <c r="AA35" i="75"/>
  <c r="AF35" i="75" s="1"/>
  <c r="AC46" i="75"/>
  <c r="AD50" i="75"/>
  <c r="AI50" i="75" s="1"/>
  <c r="AD75" i="75"/>
  <c r="AI75" i="75" s="1"/>
  <c r="X110" i="75"/>
  <c r="Z93" i="75"/>
  <c r="AE93" i="75" s="1"/>
  <c r="AC98" i="75"/>
  <c r="AH98" i="75"/>
  <c r="Q151" i="40"/>
  <c r="AA8" i="75"/>
  <c r="AF8" i="75" s="1"/>
  <c r="AC27" i="75"/>
  <c r="AC35" i="75"/>
  <c r="AH35" i="75" s="1"/>
  <c r="Z57" i="75"/>
  <c r="AC58" i="75"/>
  <c r="AH58" i="75"/>
  <c r="AE71" i="75"/>
  <c r="Y110" i="75"/>
  <c r="AI100" i="75"/>
  <c r="AC154" i="75"/>
  <c r="AH154" i="75" s="1"/>
  <c r="Q157" i="40"/>
  <c r="Q194" i="40"/>
  <c r="AD27" i="75"/>
  <c r="AA28" i="75"/>
  <c r="AF28" i="75" s="1"/>
  <c r="Z56" i="75"/>
  <c r="AE56" i="75"/>
  <c r="Z85" i="75"/>
  <c r="AE85" i="75" s="1"/>
  <c r="AC136" i="75"/>
  <c r="AH136" i="75"/>
  <c r="AC141" i="75"/>
  <c r="AH141" i="75" s="1"/>
  <c r="AC135" i="75"/>
  <c r="AH135" i="75" s="1"/>
  <c r="Z141" i="75"/>
  <c r="AE141" i="75" s="1"/>
  <c r="AA267" i="75"/>
  <c r="AD266" i="75"/>
  <c r="AI266" i="75"/>
  <c r="AA261" i="75"/>
  <c r="AF261" i="75"/>
  <c r="AD260" i="75"/>
  <c r="AI260" i="75" s="1"/>
  <c r="AA260" i="75"/>
  <c r="AF260" i="75" s="1"/>
  <c r="AD265" i="75"/>
  <c r="AI265" i="75" s="1"/>
  <c r="AA272" i="75"/>
  <c r="AF272" i="75" s="1"/>
  <c r="AD277" i="75"/>
  <c r="AD271" i="75"/>
  <c r="AI271" i="75"/>
  <c r="AD54" i="75"/>
  <c r="AI54" i="75"/>
  <c r="AA55" i="75"/>
  <c r="AF55" i="75" s="1"/>
  <c r="AD60" i="75"/>
  <c r="AI60" i="75"/>
  <c r="AA61" i="75"/>
  <c r="AF61" i="75"/>
  <c r="AA67" i="75"/>
  <c r="AD73" i="75"/>
  <c r="AI73" i="75"/>
  <c r="AA74" i="75"/>
  <c r="AF74" i="75" s="1"/>
  <c r="AD79" i="75"/>
  <c r="AI79" i="75"/>
  <c r="AA80" i="75"/>
  <c r="AF80" i="75" s="1"/>
  <c r="AD85" i="75"/>
  <c r="AI85" i="75" s="1"/>
  <c r="V89" i="75"/>
  <c r="AD104" i="75"/>
  <c r="AI104" i="75" s="1"/>
  <c r="AD127" i="75"/>
  <c r="K65" i="40"/>
  <c r="U46" i="3" s="1"/>
  <c r="AI127" i="75"/>
  <c r="P65" i="40"/>
  <c r="U71" i="3" s="1"/>
  <c r="AA122" i="75"/>
  <c r="AF122" i="75"/>
  <c r="AD121" i="75"/>
  <c r="AI121" i="75"/>
  <c r="AA116" i="75"/>
  <c r="AF116" i="75" s="1"/>
  <c r="AI115" i="75"/>
  <c r="AA127" i="75"/>
  <c r="AF127" i="75" s="1"/>
  <c r="M65" i="40" s="1"/>
  <c r="S71" i="3" s="1"/>
  <c r="AD126" i="75"/>
  <c r="AI126" i="75" s="1"/>
  <c r="AA126" i="75"/>
  <c r="AD125" i="75"/>
  <c r="AA120" i="75"/>
  <c r="AF120" i="75"/>
  <c r="AD119" i="75"/>
  <c r="AI119" i="75" s="1"/>
  <c r="AA114" i="75"/>
  <c r="AD130" i="75"/>
  <c r="AA125" i="75"/>
  <c r="AF125" i="75"/>
  <c r="AD124" i="75"/>
  <c r="AI124" i="75" s="1"/>
  <c r="AA119" i="75"/>
  <c r="AF119" i="75" s="1"/>
  <c r="AD118" i="75"/>
  <c r="AI118" i="75"/>
  <c r="AA113" i="75"/>
  <c r="AF113" i="75" s="1"/>
  <c r="AD112" i="75"/>
  <c r="AI112" i="75"/>
  <c r="AA123" i="75"/>
  <c r="AF123" i="75"/>
  <c r="AD122" i="75"/>
  <c r="AI122" i="75" s="1"/>
  <c r="AA117" i="75"/>
  <c r="AF117" i="75" s="1"/>
  <c r="AD116" i="75"/>
  <c r="AI116" i="75"/>
  <c r="AA111" i="75"/>
  <c r="AF111" i="75" s="1"/>
  <c r="AA124" i="75"/>
  <c r="AF124" i="75"/>
  <c r="Z181" i="75"/>
  <c r="AE181" i="75"/>
  <c r="Z279" i="75"/>
  <c r="Z282" i="75"/>
  <c r="AE282" i="75" s="1"/>
  <c r="AC281" i="75"/>
  <c r="AH281" i="75"/>
  <c r="Z287" i="75"/>
  <c r="AE287" i="75" s="1"/>
  <c r="AC286" i="75"/>
  <c r="Z281" i="75"/>
  <c r="AE281" i="75" s="1"/>
  <c r="AC280" i="75"/>
  <c r="AC285" i="75"/>
  <c r="AH285" i="75" s="1"/>
  <c r="AC279" i="75"/>
  <c r="Z286" i="75"/>
  <c r="AE286" i="75" s="1"/>
  <c r="Z280" i="75"/>
  <c r="AE280" i="75"/>
  <c r="AC74" i="75"/>
  <c r="AH74" i="75" s="1"/>
  <c r="Z75" i="75"/>
  <c r="AE75" i="75"/>
  <c r="AC80" i="75"/>
  <c r="AH80" i="75"/>
  <c r="Z81" i="75"/>
  <c r="AE81" i="75" s="1"/>
  <c r="AC93" i="75"/>
  <c r="AH93" i="75" s="1"/>
  <c r="Z94" i="75"/>
  <c r="AE94" i="75"/>
  <c r="AC99" i="75"/>
  <c r="AH99" i="75" s="1"/>
  <c r="Z100" i="75"/>
  <c r="AE100" i="75" s="1"/>
  <c r="AC105" i="75"/>
  <c r="AH105" i="75"/>
  <c r="Z106" i="75"/>
  <c r="AE106" i="75"/>
  <c r="Z134" i="75"/>
  <c r="AE134" i="75"/>
  <c r="Z140" i="75"/>
  <c r="AE140" i="75" s="1"/>
  <c r="Z146" i="75"/>
  <c r="Z161" i="75"/>
  <c r="AC160" i="75"/>
  <c r="AH160" i="75" s="1"/>
  <c r="Z186" i="75"/>
  <c r="AE186" i="75" s="1"/>
  <c r="Z217" i="75"/>
  <c r="AD49" i="75"/>
  <c r="AA50" i="75"/>
  <c r="AF50" i="75"/>
  <c r="AD55" i="75"/>
  <c r="AI55" i="75" s="1"/>
  <c r="AA56" i="75"/>
  <c r="AF56" i="75"/>
  <c r="AD61" i="75"/>
  <c r="AI61" i="75" s="1"/>
  <c r="AA62" i="75"/>
  <c r="AF62" i="75"/>
  <c r="AD67" i="75"/>
  <c r="AA69" i="75"/>
  <c r="AF69" i="75" s="1"/>
  <c r="AD74" i="75"/>
  <c r="AI74" i="75"/>
  <c r="AA75" i="75"/>
  <c r="AF75" i="75" s="1"/>
  <c r="AD80" i="75"/>
  <c r="AI80" i="75"/>
  <c r="AA81" i="75"/>
  <c r="AF81" i="75"/>
  <c r="AD109" i="75"/>
  <c r="AD93" i="75"/>
  <c r="AI93" i="75" s="1"/>
  <c r="AA94" i="75"/>
  <c r="AF94" i="75"/>
  <c r="AD99" i="75"/>
  <c r="AI99" i="75" s="1"/>
  <c r="AA100" i="75"/>
  <c r="AF100" i="75"/>
  <c r="AD105" i="75"/>
  <c r="AI105" i="75" s="1"/>
  <c r="AA106" i="75"/>
  <c r="AF106" i="75"/>
  <c r="V131" i="75"/>
  <c r="AA121" i="75"/>
  <c r="AD123" i="75"/>
  <c r="AI123" i="75" s="1"/>
  <c r="AC134" i="75"/>
  <c r="AH134" i="75" s="1"/>
  <c r="AC140" i="75"/>
  <c r="AH140" i="75"/>
  <c r="AC75" i="75"/>
  <c r="AH75" i="75" s="1"/>
  <c r="Z76" i="75"/>
  <c r="AE76" i="75"/>
  <c r="AC81" i="75"/>
  <c r="AH81" i="75" s="1"/>
  <c r="Z82" i="75"/>
  <c r="AE82" i="75" s="1"/>
  <c r="Z88" i="75"/>
  <c r="Y89" i="75"/>
  <c r="AC94" i="75"/>
  <c r="AH94" i="75"/>
  <c r="Z95" i="75"/>
  <c r="AE95" i="75" s="1"/>
  <c r="AC100" i="75"/>
  <c r="AH100" i="75" s="1"/>
  <c r="Z101" i="75"/>
  <c r="AE101" i="75" s="1"/>
  <c r="AC106" i="75"/>
  <c r="AH106" i="75" s="1"/>
  <c r="X131" i="75"/>
  <c r="X152" i="75"/>
  <c r="Z133" i="75"/>
  <c r="AE133" i="75"/>
  <c r="Z139" i="75"/>
  <c r="AE139" i="75" s="1"/>
  <c r="Z145" i="75"/>
  <c r="AE145" i="75" s="1"/>
  <c r="U152" i="75"/>
  <c r="Z162" i="75"/>
  <c r="AE162" i="75" s="1"/>
  <c r="AC227" i="75"/>
  <c r="AH227" i="75"/>
  <c r="AD326" i="75"/>
  <c r="AA321" i="75"/>
  <c r="AA327" i="75"/>
  <c r="AD332" i="75"/>
  <c r="AI332" i="75" s="1"/>
  <c r="AA118" i="75"/>
  <c r="AF118" i="75" s="1"/>
  <c r="AD120" i="75"/>
  <c r="AI120" i="75" s="1"/>
  <c r="U131" i="75"/>
  <c r="AC133" i="75"/>
  <c r="AH133" i="75"/>
  <c r="AC139" i="75"/>
  <c r="AH139" i="75" s="1"/>
  <c r="AC145" i="75"/>
  <c r="AH145" i="75" s="1"/>
  <c r="AE161" i="75"/>
  <c r="Z187" i="75"/>
  <c r="AE187" i="75" s="1"/>
  <c r="Z197" i="75"/>
  <c r="AE197" i="75"/>
  <c r="AC196" i="75"/>
  <c r="AH196" i="75" s="1"/>
  <c r="Z196" i="75"/>
  <c r="AE196" i="75"/>
  <c r="AC195" i="75"/>
  <c r="AH195" i="75"/>
  <c r="Z195" i="75"/>
  <c r="AC205" i="75"/>
  <c r="AH205" i="75" s="1"/>
  <c r="AC76" i="75"/>
  <c r="AH76" i="75" s="1"/>
  <c r="Z77" i="75"/>
  <c r="AE77" i="75" s="1"/>
  <c r="AC82" i="75"/>
  <c r="AH82" i="75"/>
  <c r="Z83" i="75"/>
  <c r="AE83" i="75" s="1"/>
  <c r="AC88" i="75"/>
  <c r="AC95" i="75"/>
  <c r="AH95" i="75" s="1"/>
  <c r="Z96" i="75"/>
  <c r="AE96" i="75" s="1"/>
  <c r="AC101" i="75"/>
  <c r="AH101" i="75"/>
  <c r="Z102" i="75"/>
  <c r="AE102" i="75" s="1"/>
  <c r="AF126" i="75"/>
  <c r="Z132" i="75"/>
  <c r="Z138" i="75"/>
  <c r="AE138" i="75"/>
  <c r="Z144" i="75"/>
  <c r="AE144" i="75" s="1"/>
  <c r="Y152" i="75"/>
  <c r="AC172" i="75"/>
  <c r="AC180" i="75"/>
  <c r="AH180" i="75"/>
  <c r="AF211" i="75"/>
  <c r="AD51" i="75"/>
  <c r="AI51" i="75"/>
  <c r="AA52" i="75"/>
  <c r="AF52" i="75" s="1"/>
  <c r="AD57" i="75"/>
  <c r="AI57" i="75" s="1"/>
  <c r="AA58" i="75"/>
  <c r="AF58" i="75" s="1"/>
  <c r="AD63" i="75"/>
  <c r="AI63" i="75" s="1"/>
  <c r="AA64" i="75"/>
  <c r="AF64" i="75" s="1"/>
  <c r="AD70" i="75"/>
  <c r="AI70" i="75"/>
  <c r="AA71" i="75"/>
  <c r="AF71" i="75" s="1"/>
  <c r="AD76" i="75"/>
  <c r="AI76" i="75"/>
  <c r="AA77" i="75"/>
  <c r="AF77" i="75" s="1"/>
  <c r="AD82" i="75"/>
  <c r="AI82" i="75" s="1"/>
  <c r="AA83" i="75"/>
  <c r="AF83" i="75" s="1"/>
  <c r="AD88" i="75"/>
  <c r="AA90" i="75"/>
  <c r="AD95" i="75"/>
  <c r="AI95" i="75" s="1"/>
  <c r="AA96" i="75"/>
  <c r="AF96" i="75" s="1"/>
  <c r="AD101" i="75"/>
  <c r="AI101" i="75" s="1"/>
  <c r="AA102" i="75"/>
  <c r="AF102" i="75" s="1"/>
  <c r="AA112" i="75"/>
  <c r="AF112" i="75" s="1"/>
  <c r="AA115" i="75"/>
  <c r="AF115" i="75" s="1"/>
  <c r="AD117" i="75"/>
  <c r="AI117" i="75" s="1"/>
  <c r="Y131" i="75"/>
  <c r="AC132" i="75"/>
  <c r="AH132" i="75" s="1"/>
  <c r="AC138" i="75"/>
  <c r="AH138" i="75"/>
  <c r="AC144" i="75"/>
  <c r="AH144" i="75"/>
  <c r="U215" i="75"/>
  <c r="Z216" i="75"/>
  <c r="AC71" i="75"/>
  <c r="AH71" i="75"/>
  <c r="Z72" i="75"/>
  <c r="AE72" i="75"/>
  <c r="AC77" i="75"/>
  <c r="AH77" i="75" s="1"/>
  <c r="Z78" i="75"/>
  <c r="AE78" i="75" s="1"/>
  <c r="AC83" i="75"/>
  <c r="AH83" i="75"/>
  <c r="Z84" i="75"/>
  <c r="AE84" i="75"/>
  <c r="AC90" i="75"/>
  <c r="Z91" i="75"/>
  <c r="AE91" i="75" s="1"/>
  <c r="AC96" i="75"/>
  <c r="AH96" i="75"/>
  <c r="Z97" i="75"/>
  <c r="AE97" i="75" s="1"/>
  <c r="AC102" i="75"/>
  <c r="AH102" i="75" s="1"/>
  <c r="Z103" i="75"/>
  <c r="AE103" i="75" s="1"/>
  <c r="Z109" i="75"/>
  <c r="AD111" i="75"/>
  <c r="Z137" i="75"/>
  <c r="AE137" i="75" s="1"/>
  <c r="Z143" i="75"/>
  <c r="AE143" i="75"/>
  <c r="Z148" i="75"/>
  <c r="AE148" i="75" s="1"/>
  <c r="Z155" i="75"/>
  <c r="AE155" i="75" s="1"/>
  <c r="Z168" i="75"/>
  <c r="AE168" i="75" s="1"/>
  <c r="U194" i="75"/>
  <c r="Z200" i="75"/>
  <c r="AE200" i="75"/>
  <c r="AD52" i="75"/>
  <c r="AI52" i="75"/>
  <c r="AA53" i="75"/>
  <c r="AF53" i="75" s="1"/>
  <c r="AD58" i="75"/>
  <c r="AI58" i="75"/>
  <c r="AA59" i="75"/>
  <c r="AF59" i="75"/>
  <c r="AD71" i="75"/>
  <c r="AI71" i="75"/>
  <c r="AA72" i="75"/>
  <c r="AF72" i="75"/>
  <c r="AD77" i="75"/>
  <c r="AI77" i="75"/>
  <c r="AA78" i="75"/>
  <c r="AF78" i="75" s="1"/>
  <c r="AD83" i="75"/>
  <c r="AI83" i="75" s="1"/>
  <c r="AA84" i="75"/>
  <c r="AF84" i="75"/>
  <c r="AD96" i="75"/>
  <c r="AI96" i="75"/>
  <c r="AA97" i="75"/>
  <c r="AF97" i="75"/>
  <c r="AD102" i="75"/>
  <c r="AI102" i="75"/>
  <c r="AA103" i="75"/>
  <c r="AF103" i="75" s="1"/>
  <c r="AA109" i="75"/>
  <c r="AD113" i="75"/>
  <c r="AI113" i="75" s="1"/>
  <c r="AD114" i="75"/>
  <c r="AI114" i="75" s="1"/>
  <c r="AC137" i="75"/>
  <c r="AH137" i="75"/>
  <c r="AC143" i="75"/>
  <c r="X215" i="75"/>
  <c r="AC218" i="75"/>
  <c r="AH218" i="75" s="1"/>
  <c r="AC72" i="75"/>
  <c r="AH72" i="75" s="1"/>
  <c r="Z73" i="75"/>
  <c r="AE73" i="75"/>
  <c r="AC78" i="75"/>
  <c r="AH78" i="75"/>
  <c r="Z79" i="75"/>
  <c r="AE79" i="75"/>
  <c r="AC84" i="75"/>
  <c r="AH84" i="75"/>
  <c r="AC97" i="75"/>
  <c r="Z98" i="75"/>
  <c r="AE98" i="75" s="1"/>
  <c r="AC103" i="75"/>
  <c r="AH103" i="75"/>
  <c r="Z104" i="75"/>
  <c r="AE104" i="75"/>
  <c r="AI125" i="75"/>
  <c r="Z147" i="75"/>
  <c r="AE147" i="75" s="1"/>
  <c r="AC146" i="75"/>
  <c r="AH146" i="75" s="1"/>
  <c r="Z136" i="75"/>
  <c r="AE136" i="75" s="1"/>
  <c r="Z142" i="75"/>
  <c r="AE142" i="75" s="1"/>
  <c r="Z151" i="75"/>
  <c r="Z174" i="75"/>
  <c r="Z177" i="75"/>
  <c r="AE177" i="75"/>
  <c r="AC176" i="75"/>
  <c r="AH176" i="75" s="1"/>
  <c r="Z176" i="75"/>
  <c r="AE176" i="75" s="1"/>
  <c r="AC175" i="75"/>
  <c r="AH175" i="75" s="1"/>
  <c r="AC186" i="75"/>
  <c r="AH186" i="75" s="1"/>
  <c r="AE217" i="75"/>
  <c r="AD53" i="75"/>
  <c r="AI53" i="75"/>
  <c r="AA54" i="75"/>
  <c r="AF54" i="75"/>
  <c r="AD72" i="75"/>
  <c r="AI72" i="75"/>
  <c r="AA73" i="75"/>
  <c r="AF73" i="75" s="1"/>
  <c r="AD78" i="75"/>
  <c r="AI78" i="75" s="1"/>
  <c r="AA79" i="75"/>
  <c r="AF79" i="75"/>
  <c r="AD84" i="75"/>
  <c r="AI84" i="75"/>
  <c r="AD103" i="75"/>
  <c r="AI103" i="75"/>
  <c r="AA104" i="75"/>
  <c r="AF104" i="75"/>
  <c r="AF121" i="75"/>
  <c r="AA130" i="75"/>
  <c r="AC142" i="75"/>
  <c r="AH142" i="75" s="1"/>
  <c r="AC147" i="75"/>
  <c r="AH147" i="75"/>
  <c r="AC151" i="75"/>
  <c r="AD221" i="75"/>
  <c r="AI221" i="75"/>
  <c r="AA222" i="75"/>
  <c r="AF222" i="75" s="1"/>
  <c r="AD217" i="75"/>
  <c r="AI217" i="75"/>
  <c r="AD227" i="75"/>
  <c r="AI227" i="75" s="1"/>
  <c r="AA216" i="75"/>
  <c r="AA218" i="75"/>
  <c r="AD135" i="75"/>
  <c r="AI135" i="75" s="1"/>
  <c r="AA136" i="75"/>
  <c r="AF136" i="75"/>
  <c r="AD141" i="75"/>
  <c r="AI141" i="75" s="1"/>
  <c r="AA142" i="75"/>
  <c r="AF142" i="75" s="1"/>
  <c r="AD147" i="75"/>
  <c r="AI147" i="75" s="1"/>
  <c r="AA148" i="75"/>
  <c r="AF148" i="75" s="1"/>
  <c r="AD154" i="75"/>
  <c r="AI154" i="75" s="1"/>
  <c r="AA155" i="75"/>
  <c r="AD160" i="75"/>
  <c r="AI160" i="75"/>
  <c r="AA161" i="75"/>
  <c r="AF161" i="75"/>
  <c r="AD166" i="75"/>
  <c r="AI166" i="75" s="1"/>
  <c r="AA167" i="75"/>
  <c r="AF167" i="75" s="1"/>
  <c r="AD172" i="75"/>
  <c r="AA174" i="75"/>
  <c r="AF174" i="75" s="1"/>
  <c r="AD179" i="75"/>
  <c r="AI179" i="75"/>
  <c r="AA180" i="75"/>
  <c r="AF180" i="75" s="1"/>
  <c r="AD185" i="75"/>
  <c r="AI185" i="75"/>
  <c r="AA186" i="75"/>
  <c r="AF186" i="75" s="1"/>
  <c r="V215" i="75"/>
  <c r="AA210" i="75"/>
  <c r="AF210" i="75"/>
  <c r="AA214" i="75"/>
  <c r="AD198" i="75"/>
  <c r="AI198" i="75" s="1"/>
  <c r="AA199" i="75"/>
  <c r="AF199" i="75" s="1"/>
  <c r="AD204" i="75"/>
  <c r="AI204" i="75"/>
  <c r="AA205" i="75"/>
  <c r="AF205" i="75" s="1"/>
  <c r="AC211" i="75"/>
  <c r="AH211" i="75" s="1"/>
  <c r="Y236" i="75"/>
  <c r="AD136" i="75"/>
  <c r="AI136" i="75"/>
  <c r="AA137" i="75"/>
  <c r="AF137" i="75"/>
  <c r="AD142" i="75"/>
  <c r="AI142" i="75"/>
  <c r="AA143" i="75"/>
  <c r="AF143" i="75" s="1"/>
  <c r="AD148" i="75"/>
  <c r="AI148" i="75" s="1"/>
  <c r="V152" i="75"/>
  <c r="AD161" i="75"/>
  <c r="AI161" i="75" s="1"/>
  <c r="AA162" i="75"/>
  <c r="AF162" i="75" s="1"/>
  <c r="AD167" i="75"/>
  <c r="AI167" i="75" s="1"/>
  <c r="AA168" i="75"/>
  <c r="AF168" i="75"/>
  <c r="AD180" i="75"/>
  <c r="AI180" i="75" s="1"/>
  <c r="AD186" i="75"/>
  <c r="AI186" i="75" s="1"/>
  <c r="AA187" i="75"/>
  <c r="AF187" i="75" s="1"/>
  <c r="AA193" i="75"/>
  <c r="AD199" i="75"/>
  <c r="AI199" i="75"/>
  <c r="AA200" i="75"/>
  <c r="AF200" i="75"/>
  <c r="AD205" i="75"/>
  <c r="AI205" i="75" s="1"/>
  <c r="AA206" i="75"/>
  <c r="AF206" i="75" s="1"/>
  <c r="AC217" i="75"/>
  <c r="AH217" i="75"/>
  <c r="Z223" i="75"/>
  <c r="AE223" i="75"/>
  <c r="AH286" i="75"/>
  <c r="AC156" i="75"/>
  <c r="AH156" i="75" s="1"/>
  <c r="Z157" i="75"/>
  <c r="AE157" i="75" s="1"/>
  <c r="AC162" i="75"/>
  <c r="AH162" i="75" s="1"/>
  <c r="Z163" i="75"/>
  <c r="AE163" i="75" s="1"/>
  <c r="AC168" i="75"/>
  <c r="AH168" i="75" s="1"/>
  <c r="Z169" i="75"/>
  <c r="AE169" i="75" s="1"/>
  <c r="AC181" i="75"/>
  <c r="AH181" i="75" s="1"/>
  <c r="Z182" i="75"/>
  <c r="AE182" i="75" s="1"/>
  <c r="AC187" i="75"/>
  <c r="AH187" i="75" s="1"/>
  <c r="Z188" i="75"/>
  <c r="AE188" i="75" s="1"/>
  <c r="AC193" i="75"/>
  <c r="AC200" i="75"/>
  <c r="AH200" i="75"/>
  <c r="Z201" i="75"/>
  <c r="AE201" i="75"/>
  <c r="AC206" i="75"/>
  <c r="AH206" i="75"/>
  <c r="Z207" i="75"/>
  <c r="AE207" i="75" s="1"/>
  <c r="Z214" i="75"/>
  <c r="AC223" i="75"/>
  <c r="AH223" i="75" s="1"/>
  <c r="AC226" i="75"/>
  <c r="AH226" i="75" s="1"/>
  <c r="U257" i="75"/>
  <c r="AC252" i="75"/>
  <c r="AH252" i="75"/>
  <c r="AA132" i="75"/>
  <c r="AD137" i="75"/>
  <c r="AI137" i="75" s="1"/>
  <c r="AA138" i="75"/>
  <c r="AF138" i="75" s="1"/>
  <c r="AD143" i="75"/>
  <c r="AI143" i="75"/>
  <c r="AA144" i="75"/>
  <c r="AF144" i="75"/>
  <c r="AD156" i="75"/>
  <c r="AI156" i="75"/>
  <c r="AA157" i="75"/>
  <c r="AF157" i="75"/>
  <c r="AD162" i="75"/>
  <c r="AI162" i="75" s="1"/>
  <c r="AA163" i="75"/>
  <c r="AF163" i="75" s="1"/>
  <c r="AD168" i="75"/>
  <c r="AI168" i="75"/>
  <c r="AA169" i="75"/>
  <c r="AF169" i="75"/>
  <c r="AD175" i="75"/>
  <c r="AI175" i="75"/>
  <c r="AA176" i="75"/>
  <c r="AF176" i="75"/>
  <c r="AD181" i="75"/>
  <c r="AI181" i="75" s="1"/>
  <c r="AA182" i="75"/>
  <c r="AF182" i="75" s="1"/>
  <c r="AD187" i="75"/>
  <c r="AI187" i="75"/>
  <c r="AA188" i="75"/>
  <c r="AF188" i="75"/>
  <c r="AD193" i="75"/>
  <c r="AA195" i="75"/>
  <c r="AD200" i="75"/>
  <c r="AI200" i="75"/>
  <c r="AA201" i="75"/>
  <c r="AF201" i="75" s="1"/>
  <c r="AD206" i="75"/>
  <c r="AI206" i="75" s="1"/>
  <c r="AA207" i="75"/>
  <c r="AF207" i="75"/>
  <c r="AC214" i="75"/>
  <c r="V257" i="75"/>
  <c r="V278" i="75"/>
  <c r="AC163" i="75"/>
  <c r="AH163" i="75"/>
  <c r="Z164" i="75"/>
  <c r="AE164" i="75" s="1"/>
  <c r="AC169" i="75"/>
  <c r="AH169" i="75" s="1"/>
  <c r="AC182" i="75"/>
  <c r="AH182" i="75"/>
  <c r="Z183" i="75"/>
  <c r="AE183" i="75" s="1"/>
  <c r="AC188" i="75"/>
  <c r="AH188" i="75"/>
  <c r="Z189" i="75"/>
  <c r="AE189" i="75"/>
  <c r="AC201" i="75"/>
  <c r="AH201" i="75" s="1"/>
  <c r="Z202" i="75"/>
  <c r="AE202" i="75" s="1"/>
  <c r="AC207" i="75"/>
  <c r="AH207" i="75"/>
  <c r="Z208" i="75"/>
  <c r="AD214" i="75"/>
  <c r="Z227" i="75"/>
  <c r="AE227" i="75"/>
  <c r="Z221" i="75"/>
  <c r="AE221" i="75"/>
  <c r="Z230" i="75"/>
  <c r="AE230" i="75" s="1"/>
  <c r="AC240" i="75"/>
  <c r="AH240" i="75" s="1"/>
  <c r="AD132" i="75"/>
  <c r="AI132" i="75"/>
  <c r="AA133" i="75"/>
  <c r="AF133" i="75" s="1"/>
  <c r="AD138" i="75"/>
  <c r="AI138" i="75"/>
  <c r="AA139" i="75"/>
  <c r="AF139" i="75"/>
  <c r="AD144" i="75"/>
  <c r="AI144" i="75" s="1"/>
  <c r="AA145" i="75"/>
  <c r="AF145" i="75" s="1"/>
  <c r="AA151" i="75"/>
  <c r="AD157" i="75"/>
  <c r="AI157" i="75" s="1"/>
  <c r="AA158" i="75"/>
  <c r="AF158" i="75"/>
  <c r="AD163" i="75"/>
  <c r="AI163" i="75" s="1"/>
  <c r="AA164" i="75"/>
  <c r="AF164" i="75"/>
  <c r="AD169" i="75"/>
  <c r="AI169" i="75"/>
  <c r="AD176" i="75"/>
  <c r="AI176" i="75"/>
  <c r="AA177" i="75"/>
  <c r="AF177" i="75" s="1"/>
  <c r="AD182" i="75"/>
  <c r="AI182" i="75"/>
  <c r="AA183" i="75"/>
  <c r="AF183" i="75" s="1"/>
  <c r="AD188" i="75"/>
  <c r="AI188" i="75"/>
  <c r="AA189" i="75"/>
  <c r="AF189" i="75"/>
  <c r="AD195" i="75"/>
  <c r="AA196" i="75"/>
  <c r="AF196" i="75"/>
  <c r="AD201" i="75"/>
  <c r="AI201" i="75" s="1"/>
  <c r="AA202" i="75"/>
  <c r="AF202" i="75"/>
  <c r="AD207" i="75"/>
  <c r="AI207" i="75"/>
  <c r="AA208" i="75"/>
  <c r="AF208" i="75" s="1"/>
  <c r="AC221" i="75"/>
  <c r="AH221" i="75" s="1"/>
  <c r="AC222" i="75"/>
  <c r="AH222" i="75"/>
  <c r="Y257" i="75"/>
  <c r="Y278" i="75"/>
  <c r="Z292" i="75"/>
  <c r="AE292" i="75"/>
  <c r="AA280" i="75"/>
  <c r="AF280" i="75"/>
  <c r="AD279" i="75"/>
  <c r="AC158" i="75"/>
  <c r="AH158" i="75"/>
  <c r="Z159" i="75"/>
  <c r="AE159" i="75"/>
  <c r="AC164" i="75"/>
  <c r="Z165" i="75"/>
  <c r="AE165" i="75" s="1"/>
  <c r="AC177" i="75"/>
  <c r="AH177" i="75"/>
  <c r="Z178" i="75"/>
  <c r="AE178" i="75"/>
  <c r="AC183" i="75"/>
  <c r="AH183" i="75" s="1"/>
  <c r="Z184" i="75"/>
  <c r="AE184" i="75" s="1"/>
  <c r="AC189" i="75"/>
  <c r="AH189" i="75"/>
  <c r="Z190" i="75"/>
  <c r="AE190" i="75" s="1"/>
  <c r="AC202" i="75"/>
  <c r="AH202" i="75"/>
  <c r="Z203" i="75"/>
  <c r="AE203" i="75"/>
  <c r="AC208" i="75"/>
  <c r="AH208" i="75" s="1"/>
  <c r="Z209" i="75"/>
  <c r="AE209" i="75" s="1"/>
  <c r="AC232" i="75"/>
  <c r="AH232" i="75"/>
  <c r="Z252" i="75"/>
  <c r="AE252" i="75" s="1"/>
  <c r="AC251" i="75"/>
  <c r="AH251" i="75"/>
  <c r="Z246" i="75"/>
  <c r="AE246" i="75"/>
  <c r="AC245" i="75"/>
  <c r="AH245" i="75" s="1"/>
  <c r="Z240" i="75"/>
  <c r="AE240" i="75" s="1"/>
  <c r="AC239" i="75"/>
  <c r="AH239" i="75"/>
  <c r="AC256" i="75"/>
  <c r="Z251" i="75"/>
  <c r="AE251" i="75"/>
  <c r="AC250" i="75"/>
  <c r="AH250" i="75" s="1"/>
  <c r="Z245" i="75"/>
  <c r="AE245" i="75"/>
  <c r="AC244" i="75"/>
  <c r="AH244" i="75"/>
  <c r="Z239" i="75"/>
  <c r="AE239" i="75"/>
  <c r="AC238" i="75"/>
  <c r="AH238" i="75" s="1"/>
  <c r="Z256" i="75"/>
  <c r="Z250" i="75"/>
  <c r="AC249" i="75"/>
  <c r="AH249" i="75" s="1"/>
  <c r="Z244" i="75"/>
  <c r="AE244" i="75" s="1"/>
  <c r="AC243" i="75"/>
  <c r="Z238" i="75"/>
  <c r="AE238" i="75" s="1"/>
  <c r="AC237" i="75"/>
  <c r="Z249" i="75"/>
  <c r="AE249" i="75" s="1"/>
  <c r="AC248" i="75"/>
  <c r="Z243" i="75"/>
  <c r="AC242" i="75"/>
  <c r="AH242" i="75" s="1"/>
  <c r="Z237" i="75"/>
  <c r="AE237" i="75" s="1"/>
  <c r="AC253" i="75"/>
  <c r="AH253" i="75"/>
  <c r="Z248" i="75"/>
  <c r="AC247" i="75"/>
  <c r="AH247" i="75"/>
  <c r="Z242" i="75"/>
  <c r="AE242" i="75" s="1"/>
  <c r="AC241" i="75"/>
  <c r="AH241" i="75"/>
  <c r="AD133" i="75"/>
  <c r="AI133" i="75"/>
  <c r="AA134" i="75"/>
  <c r="AF134" i="75" s="1"/>
  <c r="AD139" i="75"/>
  <c r="AI139" i="75" s="1"/>
  <c r="AA140" i="75"/>
  <c r="AF140" i="75"/>
  <c r="AD145" i="75"/>
  <c r="AI145" i="75" s="1"/>
  <c r="AA146" i="75"/>
  <c r="AF146" i="75"/>
  <c r="AD151" i="75"/>
  <c r="AD158" i="75"/>
  <c r="AI158" i="75"/>
  <c r="AA159" i="75"/>
  <c r="AF159" i="75"/>
  <c r="AD164" i="75"/>
  <c r="AI164" i="75"/>
  <c r="AA165" i="75"/>
  <c r="AF165" i="75" s="1"/>
  <c r="AD177" i="75"/>
  <c r="AI177" i="75"/>
  <c r="AA178" i="75"/>
  <c r="AF178" i="75" s="1"/>
  <c r="AD183" i="75"/>
  <c r="AI183" i="75"/>
  <c r="AA184" i="75"/>
  <c r="AF184" i="75"/>
  <c r="AD189" i="75"/>
  <c r="AI189" i="75"/>
  <c r="AA190" i="75"/>
  <c r="AF190" i="75" s="1"/>
  <c r="AD196" i="75"/>
  <c r="AI196" i="75"/>
  <c r="AA197" i="75"/>
  <c r="AF197" i="75" s="1"/>
  <c r="AD202" i="75"/>
  <c r="AI202" i="75" s="1"/>
  <c r="AA203" i="75"/>
  <c r="AF203" i="75"/>
  <c r="AD208" i="75"/>
  <c r="AI208" i="75"/>
  <c r="AA209" i="75"/>
  <c r="AF209" i="75" s="1"/>
  <c r="AA232" i="75"/>
  <c r="AF232" i="75"/>
  <c r="AF218" i="75"/>
  <c r="AD256" i="75"/>
  <c r="AA251" i="75"/>
  <c r="AF251" i="75" s="1"/>
  <c r="AD250" i="75"/>
  <c r="AI250" i="75" s="1"/>
  <c r="AA245" i="75"/>
  <c r="AF245" i="75"/>
  <c r="AD244" i="75"/>
  <c r="AI244" i="75" s="1"/>
  <c r="AA239" i="75"/>
  <c r="AF239" i="75"/>
  <c r="AD238" i="75"/>
  <c r="AI238" i="75" s="1"/>
  <c r="AA256" i="75"/>
  <c r="AA250" i="75"/>
  <c r="AF250" i="75" s="1"/>
  <c r="AD249" i="75"/>
  <c r="AI249" i="75" s="1"/>
  <c r="AA244" i="75"/>
  <c r="AF244" i="75"/>
  <c r="AD243" i="75"/>
  <c r="AI243" i="75"/>
  <c r="AA238" i="75"/>
  <c r="AF238" i="75"/>
  <c r="AD237" i="75"/>
  <c r="AA249" i="75"/>
  <c r="AF249" i="75"/>
  <c r="AD248" i="75"/>
  <c r="AI248" i="75" s="1"/>
  <c r="AA243" i="75"/>
  <c r="AF243" i="75"/>
  <c r="AD242" i="75"/>
  <c r="AA237" i="75"/>
  <c r="AD253" i="75"/>
  <c r="AI253" i="75"/>
  <c r="AA248" i="75"/>
  <c r="AF248" i="75" s="1"/>
  <c r="AD247" i="75"/>
  <c r="AI247" i="75"/>
  <c r="AA242" i="75"/>
  <c r="AF242" i="75" s="1"/>
  <c r="AD241" i="75"/>
  <c r="AI241" i="75"/>
  <c r="AA253" i="75"/>
  <c r="AF253" i="75" s="1"/>
  <c r="AD252" i="75"/>
  <c r="AA247" i="75"/>
  <c r="AF247" i="75"/>
  <c r="AD246" i="75"/>
  <c r="AI246" i="75"/>
  <c r="AA252" i="75"/>
  <c r="AF252" i="75" s="1"/>
  <c r="AD251" i="75"/>
  <c r="AI251" i="75" s="1"/>
  <c r="AA246" i="75"/>
  <c r="AF246" i="75"/>
  <c r="AD245" i="75"/>
  <c r="AI245" i="75"/>
  <c r="AA240" i="75"/>
  <c r="AF240" i="75"/>
  <c r="AD239" i="75"/>
  <c r="AI239" i="75"/>
  <c r="AI242" i="75"/>
  <c r="AC153" i="75"/>
  <c r="Z154" i="75"/>
  <c r="AE154" i="75"/>
  <c r="AC159" i="75"/>
  <c r="AH159" i="75" s="1"/>
  <c r="Z160" i="75"/>
  <c r="AE160" i="75"/>
  <c r="AC165" i="75"/>
  <c r="AH165" i="75" s="1"/>
  <c r="Z166" i="75"/>
  <c r="AE166" i="75"/>
  <c r="Z172" i="75"/>
  <c r="AC178" i="75"/>
  <c r="AH178" i="75" s="1"/>
  <c r="Z179" i="75"/>
  <c r="AE179" i="75"/>
  <c r="AC184" i="75"/>
  <c r="AH184" i="75"/>
  <c r="Z185" i="75"/>
  <c r="AE185" i="75"/>
  <c r="AC190" i="75"/>
  <c r="AH190" i="75"/>
  <c r="AC197" i="75"/>
  <c r="AH197" i="75" s="1"/>
  <c r="Z198" i="75"/>
  <c r="AE198" i="75" s="1"/>
  <c r="AC203" i="75"/>
  <c r="AH203" i="75"/>
  <c r="Z204" i="75"/>
  <c r="AE204" i="75" s="1"/>
  <c r="AC209" i="75"/>
  <c r="AH209" i="75"/>
  <c r="Z210" i="75"/>
  <c r="AE210" i="75"/>
  <c r="AI211" i="75"/>
  <c r="U236" i="75"/>
  <c r="Z219" i="75"/>
  <c r="AE219" i="75" s="1"/>
  <c r="Z229" i="75"/>
  <c r="AE229" i="75"/>
  <c r="AE248" i="75"/>
  <c r="AE250" i="75"/>
  <c r="AA277" i="75"/>
  <c r="AD134" i="75"/>
  <c r="AI134" i="75" s="1"/>
  <c r="AD140" i="75"/>
  <c r="AA141" i="75"/>
  <c r="AF141" i="75"/>
  <c r="AD146" i="75"/>
  <c r="AI146" i="75"/>
  <c r="AD159" i="75"/>
  <c r="AI159" i="75" s="1"/>
  <c r="AA160" i="75"/>
  <c r="AF160" i="75"/>
  <c r="AD165" i="75"/>
  <c r="AI165" i="75" s="1"/>
  <c r="AA166" i="75"/>
  <c r="AF166" i="75"/>
  <c r="AD178" i="75"/>
  <c r="AI178" i="75"/>
  <c r="AA179" i="75"/>
  <c r="AF179" i="75"/>
  <c r="AD184" i="75"/>
  <c r="AI184" i="75" s="1"/>
  <c r="AA185" i="75"/>
  <c r="AF185" i="75"/>
  <c r="AD197" i="75"/>
  <c r="AI197" i="75" s="1"/>
  <c r="AA198" i="75"/>
  <c r="AF198" i="75" s="1"/>
  <c r="AD203" i="75"/>
  <c r="AI203" i="75" s="1"/>
  <c r="AA204" i="75"/>
  <c r="AF204" i="75"/>
  <c r="AD209" i="75"/>
  <c r="AI209" i="75" s="1"/>
  <c r="AC210" i="75"/>
  <c r="AH210" i="75"/>
  <c r="Z211" i="75"/>
  <c r="AE211" i="75" s="1"/>
  <c r="V236" i="75"/>
  <c r="Z224" i="75"/>
  <c r="AE224" i="75" s="1"/>
  <c r="AC229" i="75"/>
  <c r="AH229" i="75" s="1"/>
  <c r="Z253" i="75"/>
  <c r="AE253" i="75"/>
  <c r="AH280" i="75"/>
  <c r="AA333" i="75"/>
  <c r="AF333" i="75"/>
  <c r="AC166" i="75"/>
  <c r="AH166" i="75" s="1"/>
  <c r="Z167" i="75"/>
  <c r="AE167" i="75" s="1"/>
  <c r="AC179" i="75"/>
  <c r="AH179" i="75" s="1"/>
  <c r="Z180" i="75"/>
  <c r="AE180" i="75"/>
  <c r="AC185" i="75"/>
  <c r="AH185" i="75" s="1"/>
  <c r="AC198" i="75"/>
  <c r="AH198" i="75"/>
  <c r="Z199" i="75"/>
  <c r="AE199" i="75" s="1"/>
  <c r="AC204" i="75"/>
  <c r="AH204" i="75"/>
  <c r="AD210" i="75"/>
  <c r="AI210" i="75" s="1"/>
  <c r="Z218" i="75"/>
  <c r="AE218" i="75"/>
  <c r="Z228" i="75"/>
  <c r="AE228" i="75" s="1"/>
  <c r="AE243" i="75"/>
  <c r="AC246" i="75"/>
  <c r="AH246" i="75"/>
  <c r="AH248" i="75"/>
  <c r="AA306" i="75"/>
  <c r="AF306" i="75" s="1"/>
  <c r="AD305" i="75"/>
  <c r="AI305" i="75" s="1"/>
  <c r="AA302" i="75"/>
  <c r="AD313" i="75"/>
  <c r="AI313" i="75"/>
  <c r="AA308" i="75"/>
  <c r="AD319" i="75"/>
  <c r="AA314" i="75"/>
  <c r="AF314" i="75"/>
  <c r="AD301" i="75"/>
  <c r="AI301" i="75"/>
  <c r="AA300" i="75"/>
  <c r="AD220" i="75"/>
  <c r="AI220" i="75" s="1"/>
  <c r="AA221" i="75"/>
  <c r="AF221" i="75"/>
  <c r="AD226" i="75"/>
  <c r="AI226" i="75" s="1"/>
  <c r="AA227" i="75"/>
  <c r="AF227" i="75"/>
  <c r="AD232" i="75"/>
  <c r="AI232" i="75" s="1"/>
  <c r="AC259" i="75"/>
  <c r="AH259" i="75" s="1"/>
  <c r="Z260" i="75"/>
  <c r="AE260" i="75" s="1"/>
  <c r="AC265" i="75"/>
  <c r="AH265" i="75"/>
  <c r="Z266" i="75"/>
  <c r="AE266" i="75" s="1"/>
  <c r="AC271" i="75"/>
  <c r="AH271" i="75"/>
  <c r="Z272" i="75"/>
  <c r="AE272" i="75" s="1"/>
  <c r="AC277" i="75"/>
  <c r="AA279" i="75"/>
  <c r="AD284" i="75"/>
  <c r="AI284" i="75" s="1"/>
  <c r="AA285" i="75"/>
  <c r="AF285" i="75" s="1"/>
  <c r="Z295" i="75"/>
  <c r="AE295" i="75" s="1"/>
  <c r="AC298" i="75"/>
  <c r="V320" i="75"/>
  <c r="AC307" i="75"/>
  <c r="AH307" i="75" s="1"/>
  <c r="Y362" i="75"/>
  <c r="AA365" i="75"/>
  <c r="AF365" i="75" s="1"/>
  <c r="AD364" i="75"/>
  <c r="AC266" i="75"/>
  <c r="AH266" i="75"/>
  <c r="Z267" i="75"/>
  <c r="AE267" i="75"/>
  <c r="AC272" i="75"/>
  <c r="AH272" i="75"/>
  <c r="Z273" i="75"/>
  <c r="AE273" i="75"/>
  <c r="AD285" i="75"/>
  <c r="AI285" i="75"/>
  <c r="AA286" i="75"/>
  <c r="AF286" i="75"/>
  <c r="V341" i="75"/>
  <c r="Z385" i="75"/>
  <c r="AE385" i="75"/>
  <c r="AC384" i="75"/>
  <c r="AC397" i="75"/>
  <c r="AH397" i="75" s="1"/>
  <c r="Z235" i="75"/>
  <c r="AD272" i="75"/>
  <c r="AI272" i="75" s="1"/>
  <c r="AA273" i="75"/>
  <c r="AF273" i="75" s="1"/>
  <c r="AA294" i="75"/>
  <c r="AF294" i="75" s="1"/>
  <c r="AA332" i="75"/>
  <c r="AF332" i="75"/>
  <c r="AC358" i="75"/>
  <c r="AH358" i="75" s="1"/>
  <c r="AD216" i="75"/>
  <c r="AA217" i="75"/>
  <c r="AF217" i="75" s="1"/>
  <c r="AD222" i="75"/>
  <c r="AI222" i="75" s="1"/>
  <c r="AA223" i="75"/>
  <c r="AD228" i="75"/>
  <c r="AI228" i="75" s="1"/>
  <c r="AA229" i="75"/>
  <c r="AF229" i="75"/>
  <c r="AA235" i="75"/>
  <c r="AC261" i="75"/>
  <c r="AH261" i="75"/>
  <c r="Z262" i="75"/>
  <c r="AE262" i="75"/>
  <c r="AC267" i="75"/>
  <c r="AH267" i="75" s="1"/>
  <c r="Z268" i="75"/>
  <c r="AE268" i="75"/>
  <c r="AC273" i="75"/>
  <c r="AH273" i="75"/>
  <c r="Z274" i="75"/>
  <c r="AE274" i="75"/>
  <c r="AD280" i="75"/>
  <c r="AI280" i="75"/>
  <c r="AA281" i="75"/>
  <c r="AF281" i="75" s="1"/>
  <c r="AD286" i="75"/>
  <c r="AI286" i="75" s="1"/>
  <c r="AA287" i="75"/>
  <c r="AF287" i="75"/>
  <c r="AC294" i="75"/>
  <c r="AH294" i="75"/>
  <c r="AC300" i="75"/>
  <c r="Z314" i="75"/>
  <c r="AE314" i="75" s="1"/>
  <c r="AC319" i="75"/>
  <c r="AI326" i="75"/>
  <c r="V362" i="75"/>
  <c r="AC385" i="75"/>
  <c r="AH385" i="75"/>
  <c r="AC235" i="75"/>
  <c r="AD261" i="75"/>
  <c r="AI261" i="75"/>
  <c r="AA262" i="75"/>
  <c r="AF262" i="75"/>
  <c r="AD267" i="75"/>
  <c r="AI267" i="75"/>
  <c r="AA268" i="75"/>
  <c r="AF268" i="75"/>
  <c r="AD273" i="75"/>
  <c r="AI273" i="75" s="1"/>
  <c r="AA274" i="75"/>
  <c r="AF274" i="75"/>
  <c r="AC287" i="75"/>
  <c r="AH287" i="75"/>
  <c r="Z288" i="75"/>
  <c r="AE288" i="75"/>
  <c r="Z293" i="75"/>
  <c r="AE293" i="75"/>
  <c r="AF308" i="75"/>
  <c r="Z334" i="75"/>
  <c r="AE334" i="75"/>
  <c r="AC346" i="75"/>
  <c r="AH346" i="75"/>
  <c r="AA417" i="75"/>
  <c r="AF417" i="75"/>
  <c r="AD223" i="75"/>
  <c r="AI223" i="75"/>
  <c r="AA224" i="75"/>
  <c r="AF224" i="75"/>
  <c r="AD229" i="75"/>
  <c r="AI229" i="75"/>
  <c r="AA230" i="75"/>
  <c r="AF230" i="75" s="1"/>
  <c r="AD235" i="75"/>
  <c r="X257" i="75"/>
  <c r="AC262" i="75"/>
  <c r="AH262" i="75"/>
  <c r="AC268" i="75"/>
  <c r="Z269" i="75"/>
  <c r="AE269" i="75"/>
  <c r="AC274" i="75"/>
  <c r="AH274" i="75" s="1"/>
  <c r="AD281" i="75"/>
  <c r="AI281" i="75"/>
  <c r="AA282" i="75"/>
  <c r="AF282" i="75"/>
  <c r="AA288" i="75"/>
  <c r="AF288" i="75" s="1"/>
  <c r="Z289" i="75"/>
  <c r="AE289" i="75"/>
  <c r="Z290" i="75"/>
  <c r="Z291" i="75"/>
  <c r="AE291" i="75"/>
  <c r="AA293" i="75"/>
  <c r="AF293" i="75" s="1"/>
  <c r="AE302" i="75"/>
  <c r="AC321" i="75"/>
  <c r="AH321" i="75"/>
  <c r="Z353" i="75"/>
  <c r="AE353" i="75" s="1"/>
  <c r="U362" i="75"/>
  <c r="AA378" i="75"/>
  <c r="AF378" i="75"/>
  <c r="AD410" i="75"/>
  <c r="AI410" i="75" s="1"/>
  <c r="AC224" i="75"/>
  <c r="AH224" i="75"/>
  <c r="Z225" i="75"/>
  <c r="AE225" i="75" s="1"/>
  <c r="AC230" i="75"/>
  <c r="AH230" i="75" s="1"/>
  <c r="Z231" i="75"/>
  <c r="AE231" i="75" s="1"/>
  <c r="AD262" i="75"/>
  <c r="AI262" i="75" s="1"/>
  <c r="AA263" i="75"/>
  <c r="AD268" i="75"/>
  <c r="AI268" i="75"/>
  <c r="AA269" i="75"/>
  <c r="AF269" i="75" s="1"/>
  <c r="AD274" i="75"/>
  <c r="AI274" i="75"/>
  <c r="U299" i="75"/>
  <c r="Z294" i="75"/>
  <c r="AE294" i="75" s="1"/>
  <c r="AC293" i="75"/>
  <c r="AH293" i="75"/>
  <c r="Z298" i="75"/>
  <c r="AC295" i="75"/>
  <c r="AH295" i="75" s="1"/>
  <c r="AC282" i="75"/>
  <c r="AH282" i="75"/>
  <c r="Z283" i="75"/>
  <c r="AE283" i="75"/>
  <c r="AC288" i="75"/>
  <c r="AH288" i="75"/>
  <c r="AA289" i="75"/>
  <c r="AF289" i="75" s="1"/>
  <c r="AC290" i="75"/>
  <c r="AH290" i="75"/>
  <c r="AC291" i="75"/>
  <c r="AH291" i="75"/>
  <c r="AC292" i="75"/>
  <c r="AH292" i="75"/>
  <c r="Z319" i="75"/>
  <c r="AF302" i="75"/>
  <c r="Z313" i="75"/>
  <c r="AE313" i="75"/>
  <c r="Z333" i="75"/>
  <c r="AE333" i="75" s="1"/>
  <c r="AH333" i="75"/>
  <c r="X341" i="75"/>
  <c r="AI364" i="75"/>
  <c r="AD371" i="75"/>
  <c r="AI371" i="75"/>
  <c r="X404" i="75"/>
  <c r="AF416" i="75"/>
  <c r="AD218" i="75"/>
  <c r="AI218" i="75" s="1"/>
  <c r="AA219" i="75"/>
  <c r="AF219" i="75"/>
  <c r="AD224" i="75"/>
  <c r="AI224" i="75"/>
  <c r="AA225" i="75"/>
  <c r="AF225" i="75"/>
  <c r="AD230" i="75"/>
  <c r="AI230" i="75"/>
  <c r="AA231" i="75"/>
  <c r="AF231" i="75"/>
  <c r="Z258" i="75"/>
  <c r="AC263" i="75"/>
  <c r="AH263" i="75"/>
  <c r="Z264" i="75"/>
  <c r="AE264" i="75" s="1"/>
  <c r="AC269" i="75"/>
  <c r="AH269" i="75" s="1"/>
  <c r="Z270" i="75"/>
  <c r="AE270" i="75"/>
  <c r="V299" i="75"/>
  <c r="AA298" i="75"/>
  <c r="AA292" i="75"/>
  <c r="AF292" i="75"/>
  <c r="AA291" i="75"/>
  <c r="AF291" i="75" s="1"/>
  <c r="AD290" i="75"/>
  <c r="AI290" i="75" s="1"/>
  <c r="AD295" i="75"/>
  <c r="AI295" i="75" s="1"/>
  <c r="AA290" i="75"/>
  <c r="AF290" i="75" s="1"/>
  <c r="AD289" i="75"/>
  <c r="AI289" i="75"/>
  <c r="AA295" i="75"/>
  <c r="AF295" i="75"/>
  <c r="AD294" i="75"/>
  <c r="AI294" i="75"/>
  <c r="AD282" i="75"/>
  <c r="AI282" i="75" s="1"/>
  <c r="AA283" i="75"/>
  <c r="AF283" i="75"/>
  <c r="AD288" i="75"/>
  <c r="AI288" i="75" s="1"/>
  <c r="AC289" i="75"/>
  <c r="AH289" i="75"/>
  <c r="AD291" i="75"/>
  <c r="AI291" i="75"/>
  <c r="AD292" i="75"/>
  <c r="AI292" i="75"/>
  <c r="AA319" i="75"/>
  <c r="Z308" i="75"/>
  <c r="AE308" i="75" s="1"/>
  <c r="AC313" i="75"/>
  <c r="AH313" i="75"/>
  <c r="AD337" i="75"/>
  <c r="AI337" i="75" s="1"/>
  <c r="Y341" i="75"/>
  <c r="AA345" i="75"/>
  <c r="AF345" i="75" s="1"/>
  <c r="AD344" i="75"/>
  <c r="AA344" i="75"/>
  <c r="AF344" i="75" s="1"/>
  <c r="AD343" i="75"/>
  <c r="AI343" i="75" s="1"/>
  <c r="AA343" i="75"/>
  <c r="AF343" i="75"/>
  <c r="AD342" i="75"/>
  <c r="AA342" i="75"/>
  <c r="AD358" i="75"/>
  <c r="AI358" i="75"/>
  <c r="AA353" i="75"/>
  <c r="AF353" i="75" s="1"/>
  <c r="AD352" i="75"/>
  <c r="AI352" i="75" s="1"/>
  <c r="AE386" i="75"/>
  <c r="Z397" i="75"/>
  <c r="AE397" i="75" s="1"/>
  <c r="AC403" i="75"/>
  <c r="AC219" i="75"/>
  <c r="AH219" i="75"/>
  <c r="Z220" i="75"/>
  <c r="AE220" i="75" s="1"/>
  <c r="AC225" i="75"/>
  <c r="AH225" i="75"/>
  <c r="Z226" i="75"/>
  <c r="AE226" i="75" s="1"/>
  <c r="AC231" i="75"/>
  <c r="AH231" i="75" s="1"/>
  <c r="Z232" i="75"/>
  <c r="AE232" i="75"/>
  <c r="AA258" i="75"/>
  <c r="AD263" i="75"/>
  <c r="AI263" i="75"/>
  <c r="AA264" i="75"/>
  <c r="AF264" i="75" s="1"/>
  <c r="AD269" i="75"/>
  <c r="AI269" i="75"/>
  <c r="AA270" i="75"/>
  <c r="AF270" i="75"/>
  <c r="X299" i="75"/>
  <c r="AC283" i="75"/>
  <c r="AH283" i="75"/>
  <c r="Z284" i="75"/>
  <c r="AE284" i="75"/>
  <c r="Z328" i="75"/>
  <c r="AE328" i="75" s="1"/>
  <c r="Z398" i="75"/>
  <c r="AE398" i="75"/>
  <c r="AD219" i="75"/>
  <c r="AI219" i="75" s="1"/>
  <c r="AA220" i="75"/>
  <c r="AF220" i="75"/>
  <c r="AD225" i="75"/>
  <c r="AI225" i="75"/>
  <c r="AA226" i="75"/>
  <c r="AF226" i="75" s="1"/>
  <c r="AD231" i="75"/>
  <c r="AI231" i="75"/>
  <c r="AC258" i="75"/>
  <c r="AH258" i="75" s="1"/>
  <c r="AC264" i="75"/>
  <c r="AH264" i="75"/>
  <c r="Z265" i="75"/>
  <c r="AE265" i="75"/>
  <c r="AC270" i="75"/>
  <c r="AH270" i="75" s="1"/>
  <c r="Z271" i="75"/>
  <c r="AE271" i="75"/>
  <c r="Y299" i="75"/>
  <c r="AD283" i="75"/>
  <c r="AI283" i="75"/>
  <c r="AA284" i="75"/>
  <c r="AF327" i="75"/>
  <c r="AC391" i="75"/>
  <c r="AH391" i="75"/>
  <c r="AD421" i="75"/>
  <c r="AI421" i="75"/>
  <c r="V425" i="75"/>
  <c r="AD258" i="75"/>
  <c r="AA259" i="75"/>
  <c r="AF259" i="75"/>
  <c r="AD264" i="75"/>
  <c r="AI264" i="75"/>
  <c r="AA265" i="75"/>
  <c r="AF265" i="75"/>
  <c r="AD270" i="75"/>
  <c r="AI270" i="75" s="1"/>
  <c r="AA271" i="75"/>
  <c r="AF271" i="75"/>
  <c r="AC284" i="75"/>
  <c r="AH284" i="75" s="1"/>
  <c r="Z285" i="75"/>
  <c r="AE285" i="75"/>
  <c r="U320" i="75"/>
  <c r="AI307" i="75"/>
  <c r="X362" i="75"/>
  <c r="AE358" i="75"/>
  <c r="AD377" i="75"/>
  <c r="AI377" i="75" s="1"/>
  <c r="AC366" i="75"/>
  <c r="AH366" i="75" s="1"/>
  <c r="Z367" i="75"/>
  <c r="AE367" i="75"/>
  <c r="AC372" i="75"/>
  <c r="AH372" i="75"/>
  <c r="Z373" i="75"/>
  <c r="AE373" i="75"/>
  <c r="AC378" i="75"/>
  <c r="AH378" i="75" s="1"/>
  <c r="Z379" i="75"/>
  <c r="AE379" i="75" s="1"/>
  <c r="AD391" i="75"/>
  <c r="AI391" i="75" s="1"/>
  <c r="AA392" i="75"/>
  <c r="AF392" i="75"/>
  <c r="AD397" i="75"/>
  <c r="AI397" i="75"/>
  <c r="AA398" i="75"/>
  <c r="AF398" i="75"/>
  <c r="AD403" i="75"/>
  <c r="AC411" i="75"/>
  <c r="AH411" i="75"/>
  <c r="Z412" i="75"/>
  <c r="AE412" i="75"/>
  <c r="AC417" i="75"/>
  <c r="AH417" i="75"/>
  <c r="Z418" i="75"/>
  <c r="AE418" i="75" s="1"/>
  <c r="AC302" i="75"/>
  <c r="AH302" i="75" s="1"/>
  <c r="Z303" i="75"/>
  <c r="AE303" i="75"/>
  <c r="AC308" i="75"/>
  <c r="AH308" i="75"/>
  <c r="Z309" i="75"/>
  <c r="AE309" i="75"/>
  <c r="AC314" i="75"/>
  <c r="AH314" i="75"/>
  <c r="Z315" i="75"/>
  <c r="AE315" i="75" s="1"/>
  <c r="AD321" i="75"/>
  <c r="AI321" i="75" s="1"/>
  <c r="AA322" i="75"/>
  <c r="AF322" i="75"/>
  <c r="AD327" i="75"/>
  <c r="AI327" i="75"/>
  <c r="AA328" i="75"/>
  <c r="AF328" i="75"/>
  <c r="AD333" i="75"/>
  <c r="AI333" i="75"/>
  <c r="AA334" i="75"/>
  <c r="AF334" i="75" s="1"/>
  <c r="AA340" i="75"/>
  <c r="Z342" i="75"/>
  <c r="AE342" i="75"/>
  <c r="AC347" i="75"/>
  <c r="Z348" i="75"/>
  <c r="AE348" i="75"/>
  <c r="AC353" i="75"/>
  <c r="AH353" i="75" s="1"/>
  <c r="Z354" i="75"/>
  <c r="AE354" i="75"/>
  <c r="AD366" i="75"/>
  <c r="AI366" i="75" s="1"/>
  <c r="AA367" i="75"/>
  <c r="AF367" i="75" s="1"/>
  <c r="AD372" i="75"/>
  <c r="AI372" i="75"/>
  <c r="AA373" i="75"/>
  <c r="AF373" i="75" s="1"/>
  <c r="AD378" i="75"/>
  <c r="AI378" i="75" s="1"/>
  <c r="AA379" i="75"/>
  <c r="AF379" i="75"/>
  <c r="AC386" i="75"/>
  <c r="AH386" i="75" s="1"/>
  <c r="Z387" i="75"/>
  <c r="AE387" i="75" s="1"/>
  <c r="AC392" i="75"/>
  <c r="AH392" i="75"/>
  <c r="Z393" i="75"/>
  <c r="AE393" i="75" s="1"/>
  <c r="AC398" i="75"/>
  <c r="AH398" i="75" s="1"/>
  <c r="Z399" i="75"/>
  <c r="AE399" i="75"/>
  <c r="AD405" i="75"/>
  <c r="AI405" i="75" s="1"/>
  <c r="AA406" i="75"/>
  <c r="AF406" i="75" s="1"/>
  <c r="AD411" i="75"/>
  <c r="AI411" i="75"/>
  <c r="AA412" i="75"/>
  <c r="AF412" i="75" s="1"/>
  <c r="AD417" i="75"/>
  <c r="AI417" i="75" s="1"/>
  <c r="AA418" i="75"/>
  <c r="AF418" i="75" s="1"/>
  <c r="AD302" i="75"/>
  <c r="AI302" i="75"/>
  <c r="AA303" i="75"/>
  <c r="AF303" i="75"/>
  <c r="AD308" i="75"/>
  <c r="AI308" i="75"/>
  <c r="AA309" i="75"/>
  <c r="AF309" i="75" s="1"/>
  <c r="AD314" i="75"/>
  <c r="AI314" i="75"/>
  <c r="AA315" i="75"/>
  <c r="AF315" i="75" s="1"/>
  <c r="AC322" i="75"/>
  <c r="AH322" i="75"/>
  <c r="Z323" i="75"/>
  <c r="AE323" i="75"/>
  <c r="AC328" i="75"/>
  <c r="AH328" i="75"/>
  <c r="Z329" i="75"/>
  <c r="AE329" i="75" s="1"/>
  <c r="AC334" i="75"/>
  <c r="AH334" i="75"/>
  <c r="Z335" i="75"/>
  <c r="AE335" i="75" s="1"/>
  <c r="AC340" i="75"/>
  <c r="AD347" i="75"/>
  <c r="AI347" i="75" s="1"/>
  <c r="AA348" i="75"/>
  <c r="AF348" i="75" s="1"/>
  <c r="AD353" i="75"/>
  <c r="AI353" i="75"/>
  <c r="AA354" i="75"/>
  <c r="AF354" i="75" s="1"/>
  <c r="AC367" i="75"/>
  <c r="AH367" i="75" s="1"/>
  <c r="Z368" i="75"/>
  <c r="AE368" i="75"/>
  <c r="AC373" i="75"/>
  <c r="AH373" i="75" s="1"/>
  <c r="Z374" i="75"/>
  <c r="AE374" i="75" s="1"/>
  <c r="AC379" i="75"/>
  <c r="AH379" i="75"/>
  <c r="U383" i="75"/>
  <c r="AD386" i="75"/>
  <c r="AI386" i="75"/>
  <c r="AA387" i="75"/>
  <c r="AF387" i="75" s="1"/>
  <c r="AD392" i="75"/>
  <c r="AI392" i="75"/>
  <c r="AA393" i="75"/>
  <c r="AF393" i="75"/>
  <c r="AD398" i="75"/>
  <c r="AI398" i="75"/>
  <c r="AA399" i="75"/>
  <c r="AF399" i="75" s="1"/>
  <c r="AC406" i="75"/>
  <c r="Z407" i="75"/>
  <c r="AE407" i="75" s="1"/>
  <c r="AC412" i="75"/>
  <c r="AH412" i="75"/>
  <c r="Z413" i="75"/>
  <c r="AE413" i="75" s="1"/>
  <c r="AC418" i="75"/>
  <c r="AH418" i="75"/>
  <c r="Z419" i="75"/>
  <c r="AE419" i="75"/>
  <c r="Z424" i="75"/>
  <c r="Y425" i="75"/>
  <c r="AC303" i="75"/>
  <c r="AH303" i="75"/>
  <c r="Z304" i="75"/>
  <c r="AC309" i="75"/>
  <c r="AH309" i="75"/>
  <c r="Z310" i="75"/>
  <c r="AE310" i="75" s="1"/>
  <c r="AC315" i="75"/>
  <c r="AH315" i="75" s="1"/>
  <c r="Z316" i="75"/>
  <c r="AE316" i="75"/>
  <c r="AF321" i="75"/>
  <c r="AD322" i="75"/>
  <c r="AI322" i="75"/>
  <c r="AA323" i="75"/>
  <c r="AF323" i="75" s="1"/>
  <c r="AD328" i="75"/>
  <c r="AI328" i="75"/>
  <c r="AA329" i="75"/>
  <c r="AF329" i="75"/>
  <c r="AD334" i="75"/>
  <c r="AI334" i="75"/>
  <c r="AA335" i="75"/>
  <c r="AF335" i="75" s="1"/>
  <c r="AD340" i="75"/>
  <c r="AC342" i="75"/>
  <c r="Z343" i="75"/>
  <c r="AC348" i="75"/>
  <c r="AH348" i="75"/>
  <c r="Z349" i="75"/>
  <c r="AE349" i="75" s="1"/>
  <c r="AC354" i="75"/>
  <c r="AH354" i="75" s="1"/>
  <c r="Z355" i="75"/>
  <c r="AE355" i="75"/>
  <c r="Z361" i="75"/>
  <c r="AD367" i="75"/>
  <c r="AI367" i="75"/>
  <c r="AA368" i="75"/>
  <c r="AF368" i="75" s="1"/>
  <c r="AD373" i="75"/>
  <c r="AI373" i="75"/>
  <c r="AA374" i="75"/>
  <c r="AF374" i="75"/>
  <c r="AD379" i="75"/>
  <c r="AI379" i="75"/>
  <c r="AC387" i="75"/>
  <c r="AH387" i="75" s="1"/>
  <c r="Z388" i="75"/>
  <c r="AE388" i="75"/>
  <c r="AC393" i="75"/>
  <c r="Z394" i="75"/>
  <c r="AE394" i="75"/>
  <c r="AC399" i="75"/>
  <c r="AH399" i="75" s="1"/>
  <c r="Z400" i="75"/>
  <c r="AE400" i="75" s="1"/>
  <c r="AD406" i="75"/>
  <c r="AI406" i="75"/>
  <c r="AA407" i="75"/>
  <c r="AF407" i="75"/>
  <c r="AD412" i="75"/>
  <c r="AI412" i="75" s="1"/>
  <c r="AA413" i="75"/>
  <c r="AF413" i="75"/>
  <c r="AD418" i="75"/>
  <c r="AI418" i="75" s="1"/>
  <c r="AA419" i="75"/>
  <c r="AF419" i="75" s="1"/>
  <c r="AA424" i="75"/>
  <c r="AD303" i="75"/>
  <c r="AI303" i="75" s="1"/>
  <c r="AA304" i="75"/>
  <c r="AF304" i="75"/>
  <c r="AD309" i="75"/>
  <c r="AI309" i="75" s="1"/>
  <c r="AA310" i="75"/>
  <c r="AF310" i="75"/>
  <c r="AD315" i="75"/>
  <c r="AI315" i="75"/>
  <c r="AA316" i="75"/>
  <c r="AF316" i="75"/>
  <c r="AC323" i="75"/>
  <c r="AH323" i="75" s="1"/>
  <c r="Z324" i="75"/>
  <c r="AE324" i="75" s="1"/>
  <c r="AC329" i="75"/>
  <c r="AH329" i="75" s="1"/>
  <c r="Z330" i="75"/>
  <c r="AE330" i="75"/>
  <c r="AC335" i="75"/>
  <c r="AH335" i="75"/>
  <c r="Z336" i="75"/>
  <c r="AE336" i="75"/>
  <c r="AD348" i="75"/>
  <c r="AI348" i="75" s="1"/>
  <c r="AA349" i="75"/>
  <c r="AF349" i="75" s="1"/>
  <c r="AD354" i="75"/>
  <c r="AI354" i="75" s="1"/>
  <c r="AA355" i="75"/>
  <c r="AF355" i="75"/>
  <c r="AA361" i="75"/>
  <c r="Z363" i="75"/>
  <c r="AC368" i="75"/>
  <c r="AH368" i="75"/>
  <c r="Z369" i="75"/>
  <c r="AE369" i="75" s="1"/>
  <c r="AC374" i="75"/>
  <c r="AH374" i="75" s="1"/>
  <c r="Z375" i="75"/>
  <c r="AE375" i="75" s="1"/>
  <c r="AD387" i="75"/>
  <c r="AI387" i="75"/>
  <c r="AA388" i="75"/>
  <c r="AF388" i="75"/>
  <c r="AD393" i="75"/>
  <c r="AI393" i="75"/>
  <c r="AA394" i="75"/>
  <c r="AF394" i="75" s="1"/>
  <c r="AD399" i="75"/>
  <c r="AI399" i="75" s="1"/>
  <c r="AA400" i="75"/>
  <c r="AF400" i="75" s="1"/>
  <c r="AC407" i="75"/>
  <c r="AH407" i="75"/>
  <c r="Z408" i="75"/>
  <c r="AE408" i="75"/>
  <c r="AC413" i="75"/>
  <c r="AH413" i="75" s="1"/>
  <c r="Z414" i="75"/>
  <c r="AE414" i="75" s="1"/>
  <c r="AC419" i="75"/>
  <c r="AH419" i="75" s="1"/>
  <c r="Z420" i="75"/>
  <c r="AE420" i="75" s="1"/>
  <c r="AC424" i="75"/>
  <c r="AC304" i="75"/>
  <c r="AH304" i="75" s="1"/>
  <c r="Z305" i="75"/>
  <c r="AE305" i="75" s="1"/>
  <c r="AC310" i="75"/>
  <c r="AH310" i="75"/>
  <c r="Z311" i="75"/>
  <c r="AE311" i="75"/>
  <c r="AC316" i="75"/>
  <c r="AH316" i="75"/>
  <c r="AD323" i="75"/>
  <c r="AI323" i="75"/>
  <c r="AA324" i="75"/>
  <c r="AD329" i="75"/>
  <c r="AI329" i="75"/>
  <c r="AA330" i="75"/>
  <c r="AF330" i="75" s="1"/>
  <c r="AD335" i="75"/>
  <c r="AI335" i="75" s="1"/>
  <c r="AA336" i="75"/>
  <c r="AF336" i="75" s="1"/>
  <c r="AC343" i="75"/>
  <c r="AH343" i="75" s="1"/>
  <c r="Z344" i="75"/>
  <c r="AE344" i="75"/>
  <c r="AC349" i="75"/>
  <c r="AH349" i="75"/>
  <c r="Z350" i="75"/>
  <c r="AE350" i="75" s="1"/>
  <c r="AC355" i="75"/>
  <c r="AH355" i="75" s="1"/>
  <c r="Z356" i="75"/>
  <c r="AE356" i="75" s="1"/>
  <c r="AC361" i="75"/>
  <c r="AA363" i="75"/>
  <c r="AD368" i="75"/>
  <c r="AI368" i="75"/>
  <c r="AA369" i="75"/>
  <c r="AF369" i="75"/>
  <c r="AD374" i="75"/>
  <c r="AI374" i="75" s="1"/>
  <c r="AA375" i="75"/>
  <c r="AF375" i="75" s="1"/>
  <c r="AC388" i="75"/>
  <c r="AH388" i="75" s="1"/>
  <c r="Z389" i="75"/>
  <c r="AE389" i="75" s="1"/>
  <c r="AC394" i="75"/>
  <c r="AH394" i="75"/>
  <c r="Z395" i="75"/>
  <c r="AE395" i="75"/>
  <c r="AC400" i="75"/>
  <c r="AH400" i="75" s="1"/>
  <c r="AD407" i="75"/>
  <c r="AI407" i="75" s="1"/>
  <c r="AA408" i="75"/>
  <c r="AF408" i="75" s="1"/>
  <c r="AD413" i="75"/>
  <c r="AI413" i="75" s="1"/>
  <c r="AA414" i="75"/>
  <c r="AF414" i="75"/>
  <c r="AD419" i="75"/>
  <c r="AI419" i="75"/>
  <c r="AA420" i="75"/>
  <c r="AF420" i="75" s="1"/>
  <c r="AD424" i="75"/>
  <c r="AD304" i="75"/>
  <c r="AI304" i="75"/>
  <c r="AA305" i="75"/>
  <c r="AF305" i="75"/>
  <c r="AD310" i="75"/>
  <c r="AI310" i="75"/>
  <c r="AA311" i="75"/>
  <c r="AF311" i="75" s="1"/>
  <c r="AD316" i="75"/>
  <c r="AC324" i="75"/>
  <c r="AH324" i="75" s="1"/>
  <c r="Z325" i="75"/>
  <c r="AE325" i="75" s="1"/>
  <c r="AC330" i="75"/>
  <c r="AH330" i="75" s="1"/>
  <c r="Z331" i="75"/>
  <c r="AE331" i="75" s="1"/>
  <c r="AC336" i="75"/>
  <c r="AH336" i="75"/>
  <c r="Z337" i="75"/>
  <c r="AD349" i="75"/>
  <c r="AI349" i="75" s="1"/>
  <c r="AA350" i="75"/>
  <c r="AF350" i="75"/>
  <c r="AD355" i="75"/>
  <c r="AI355" i="75"/>
  <c r="AA356" i="75"/>
  <c r="AF356" i="75"/>
  <c r="AD361" i="75"/>
  <c r="AC363" i="75"/>
  <c r="Z364" i="75"/>
  <c r="AC369" i="75"/>
  <c r="AH369" i="75"/>
  <c r="Z370" i="75"/>
  <c r="AE370" i="75" s="1"/>
  <c r="AC375" i="75"/>
  <c r="AH375" i="75" s="1"/>
  <c r="Z376" i="75"/>
  <c r="AE376" i="75" s="1"/>
  <c r="Z382" i="75"/>
  <c r="AD388" i="75"/>
  <c r="AI388" i="75"/>
  <c r="AA389" i="75"/>
  <c r="AF389" i="75" s="1"/>
  <c r="AD394" i="75"/>
  <c r="AI394" i="75" s="1"/>
  <c r="AA395" i="75"/>
  <c r="AF395" i="75"/>
  <c r="AD400" i="75"/>
  <c r="AI400" i="75"/>
  <c r="AC408" i="75"/>
  <c r="AH408" i="75"/>
  <c r="Z409" i="75"/>
  <c r="AE409" i="75"/>
  <c r="AC414" i="75"/>
  <c r="AH414" i="75" s="1"/>
  <c r="Z415" i="75"/>
  <c r="AE415" i="75" s="1"/>
  <c r="AC420" i="75"/>
  <c r="AH420" i="75"/>
  <c r="Z421" i="75"/>
  <c r="AE421" i="75"/>
  <c r="Z300" i="75"/>
  <c r="AC305" i="75"/>
  <c r="AH305" i="75" s="1"/>
  <c r="Z306" i="75"/>
  <c r="AE306" i="75"/>
  <c r="AC311" i="75"/>
  <c r="AH311" i="75"/>
  <c r="Z312" i="75"/>
  <c r="AE312" i="75" s="1"/>
  <c r="AD324" i="75"/>
  <c r="AI324" i="75" s="1"/>
  <c r="AA325" i="75"/>
  <c r="AF325" i="75" s="1"/>
  <c r="AD330" i="75"/>
  <c r="AI330" i="75" s="1"/>
  <c r="AA331" i="75"/>
  <c r="AF331" i="75"/>
  <c r="AD336" i="75"/>
  <c r="AI336" i="75"/>
  <c r="AA337" i="75"/>
  <c r="AF337" i="75" s="1"/>
  <c r="AC344" i="75"/>
  <c r="AH344" i="75" s="1"/>
  <c r="Z345" i="75"/>
  <c r="AE345" i="75" s="1"/>
  <c r="AC350" i="75"/>
  <c r="AH350" i="75" s="1"/>
  <c r="Z351" i="75"/>
  <c r="AE351" i="75"/>
  <c r="AC356" i="75"/>
  <c r="AH356" i="75"/>
  <c r="Z357" i="75"/>
  <c r="AE357" i="75" s="1"/>
  <c r="AD363" i="75"/>
  <c r="AA364" i="75"/>
  <c r="AF364" i="75"/>
  <c r="AD369" i="75"/>
  <c r="AI369" i="75"/>
  <c r="AA370" i="75"/>
  <c r="AF370" i="75"/>
  <c r="AD375" i="75"/>
  <c r="AI375" i="75" s="1"/>
  <c r="AA376" i="75"/>
  <c r="AF376" i="75" s="1"/>
  <c r="AA382" i="75"/>
  <c r="Z384" i="75"/>
  <c r="AE384" i="75" s="1"/>
  <c r="AC389" i="75"/>
  <c r="AH389" i="75"/>
  <c r="Z390" i="75"/>
  <c r="AE390" i="75"/>
  <c r="AC395" i="75"/>
  <c r="AH395" i="75"/>
  <c r="Z396" i="75"/>
  <c r="AE396" i="75" s="1"/>
  <c r="AD408" i="75"/>
  <c r="AI408" i="75" s="1"/>
  <c r="AA409" i="75"/>
  <c r="AF409" i="75"/>
  <c r="AD414" i="75"/>
  <c r="AI414" i="75"/>
  <c r="AA415" i="75"/>
  <c r="AF415" i="75"/>
  <c r="AD420" i="75"/>
  <c r="AI420" i="75"/>
  <c r="AA421" i="75"/>
  <c r="AF421" i="75" s="1"/>
  <c r="AD311" i="75"/>
  <c r="AI311" i="75" s="1"/>
  <c r="AA312" i="75"/>
  <c r="AF312" i="75"/>
  <c r="Z326" i="75"/>
  <c r="AE326" i="75"/>
  <c r="AC331" i="75"/>
  <c r="AH331" i="75"/>
  <c r="Z332" i="75"/>
  <c r="AE332" i="75"/>
  <c r="AC337" i="75"/>
  <c r="AH337" i="75" s="1"/>
  <c r="AD350" i="75"/>
  <c r="AI350" i="75" s="1"/>
  <c r="AA351" i="75"/>
  <c r="AF351" i="75"/>
  <c r="AD356" i="75"/>
  <c r="AI356" i="75"/>
  <c r="AA357" i="75"/>
  <c r="AF357" i="75"/>
  <c r="AC364" i="75"/>
  <c r="AH364" i="75"/>
  <c r="Z365" i="75"/>
  <c r="AE365" i="75" s="1"/>
  <c r="AC370" i="75"/>
  <c r="AH370" i="75" s="1"/>
  <c r="Z371" i="75"/>
  <c r="AE371" i="75"/>
  <c r="AC376" i="75"/>
  <c r="AH376" i="75"/>
  <c r="Z377" i="75"/>
  <c r="AE377" i="75"/>
  <c r="AC382" i="75"/>
  <c r="AA384" i="75"/>
  <c r="AD389" i="75"/>
  <c r="AI389" i="75" s="1"/>
  <c r="AA390" i="75"/>
  <c r="AF390" i="75" s="1"/>
  <c r="AD395" i="75"/>
  <c r="AI395" i="75"/>
  <c r="AA396" i="75"/>
  <c r="AF396" i="75"/>
  <c r="AC409" i="75"/>
  <c r="AH409" i="75"/>
  <c r="Z410" i="75"/>
  <c r="AE410" i="75"/>
  <c r="AC415" i="75"/>
  <c r="AH415" i="75" s="1"/>
  <c r="Z416" i="75"/>
  <c r="AE416" i="75" s="1"/>
  <c r="AC421" i="75"/>
  <c r="AH421" i="75"/>
  <c r="AC306" i="75"/>
  <c r="AH306" i="75"/>
  <c r="Z307" i="75"/>
  <c r="AE307" i="75"/>
  <c r="AC312" i="75"/>
  <c r="AH312" i="75"/>
  <c r="AD325" i="75"/>
  <c r="AI325" i="75" s="1"/>
  <c r="AA326" i="75"/>
  <c r="AF326" i="75" s="1"/>
  <c r="AD331" i="75"/>
  <c r="AI331" i="75"/>
  <c r="AC345" i="75"/>
  <c r="AH345" i="75"/>
  <c r="Z346" i="75"/>
  <c r="AE346" i="75"/>
  <c r="AC351" i="75"/>
  <c r="AH351" i="75"/>
  <c r="Z352" i="75"/>
  <c r="AE352" i="75" s="1"/>
  <c r="AC357" i="75"/>
  <c r="AH357" i="75" s="1"/>
  <c r="AD370" i="75"/>
  <c r="AI370" i="75"/>
  <c r="AA371" i="75"/>
  <c r="AF371" i="75"/>
  <c r="AD376" i="75"/>
  <c r="AI376" i="75" s="1"/>
  <c r="AC390" i="75"/>
  <c r="AH390" i="75"/>
  <c r="Z391" i="75"/>
  <c r="AE391" i="75" s="1"/>
  <c r="AC396" i="75"/>
  <c r="AH396" i="75" s="1"/>
  <c r="AD409" i="75"/>
  <c r="AI409" i="75"/>
  <c r="AA410" i="75"/>
  <c r="AF410" i="75"/>
  <c r="AD415" i="75"/>
  <c r="AI415" i="75" s="1"/>
  <c r="AD300" i="75"/>
  <c r="AA301" i="75"/>
  <c r="AF301" i="75"/>
  <c r="AD306" i="75"/>
  <c r="AI306" i="75"/>
  <c r="AA307" i="75"/>
  <c r="AF307" i="75"/>
  <c r="AD312" i="75"/>
  <c r="AI312" i="75" s="1"/>
  <c r="AA313" i="75"/>
  <c r="AF313" i="75"/>
  <c r="Z321" i="75"/>
  <c r="AE321" i="75" s="1"/>
  <c r="AC326" i="75"/>
  <c r="Z327" i="75"/>
  <c r="AE327" i="75"/>
  <c r="AC332" i="75"/>
  <c r="AH332" i="75"/>
  <c r="AD345" i="75"/>
  <c r="AI345" i="75"/>
  <c r="AA346" i="75"/>
  <c r="AF346" i="75" s="1"/>
  <c r="AD351" i="75"/>
  <c r="AI351" i="75"/>
  <c r="AA352" i="75"/>
  <c r="AF352" i="75"/>
  <c r="AD357" i="75"/>
  <c r="AI357" i="75"/>
  <c r="AC365" i="75"/>
  <c r="AH365" i="75"/>
  <c r="Z366" i="75"/>
  <c r="AE366" i="75"/>
  <c r="AC371" i="75"/>
  <c r="AH371" i="75" s="1"/>
  <c r="Z372" i="75"/>
  <c r="AE372" i="75"/>
  <c r="AC377" i="75"/>
  <c r="AD384" i="75"/>
  <c r="AI384" i="75"/>
  <c r="AD390" i="75"/>
  <c r="AI390" i="75" s="1"/>
  <c r="AA391" i="75"/>
  <c r="AF391" i="75" s="1"/>
  <c r="AD396" i="75"/>
  <c r="AI396" i="75"/>
  <c r="AA397" i="75"/>
  <c r="AF397" i="75"/>
  <c r="AC410" i="75"/>
  <c r="AH410" i="75"/>
  <c r="Z411" i="75"/>
  <c r="AE411" i="75"/>
  <c r="AC416" i="75"/>
  <c r="AH416" i="75" s="1"/>
  <c r="AF258" i="75"/>
  <c r="AH90" i="75"/>
  <c r="AI27" i="75"/>
  <c r="AF363" i="75"/>
  <c r="AF342" i="75"/>
  <c r="AF216" i="75"/>
  <c r="AC299" i="75"/>
  <c r="AH279" i="75"/>
  <c r="AE132" i="75"/>
  <c r="AI49" i="75"/>
  <c r="AF27" i="75"/>
  <c r="AI300" i="75"/>
  <c r="AF132" i="75"/>
  <c r="AI258" i="75"/>
  <c r="AE363" i="75"/>
  <c r="AE258" i="75"/>
  <c r="AI237" i="75"/>
  <c r="AD215" i="75"/>
  <c r="AH363" i="75"/>
  <c r="AF279" i="75"/>
  <c r="AH406" i="75"/>
  <c r="AI111" i="75"/>
  <c r="AI131" i="75" s="1"/>
  <c r="AD131" i="75"/>
  <c r="AH27" i="75"/>
  <c r="AH384" i="75"/>
  <c r="AF300" i="75"/>
  <c r="AF195" i="75"/>
  <c r="AA215" i="75"/>
  <c r="AF90" i="75"/>
  <c r="AF155" i="75"/>
  <c r="AI216" i="75"/>
  <c r="AD236" i="75"/>
  <c r="AI279" i="75"/>
  <c r="AE174" i="75"/>
  <c r="AE216" i="75"/>
  <c r="AH153" i="75"/>
  <c r="AF48" i="75"/>
  <c r="AF68" i="75"/>
  <c r="AA68" i="75"/>
  <c r="AH237" i="75"/>
  <c r="AE195" i="75"/>
  <c r="AE279" i="75"/>
  <c r="AE300" i="75"/>
  <c r="AH342" i="75"/>
  <c r="AH300" i="75"/>
  <c r="AI195" i="75"/>
  <c r="AI215" i="75" s="1"/>
  <c r="Z173" i="75"/>
  <c r="AE153" i="75"/>
  <c r="AE173" i="75" s="1"/>
  <c r="AI342" i="75"/>
  <c r="AF237" i="75"/>
  <c r="Z110" i="75"/>
  <c r="AE90" i="75"/>
  <c r="AA20" i="75"/>
  <c r="AF20" i="75"/>
  <c r="AA25" i="75"/>
  <c r="AD19" i="75"/>
  <c r="AI19" i="75" s="1"/>
  <c r="AA19" i="75"/>
  <c r="AF19" i="75" s="1"/>
  <c r="AA6" i="75"/>
  <c r="H53" i="40" s="1"/>
  <c r="S34" i="3" s="1"/>
  <c r="AD22" i="75"/>
  <c r="AI22" i="75" s="1"/>
  <c r="P66" i="40" s="1"/>
  <c r="U72" i="3" s="1"/>
  <c r="AD15" i="75"/>
  <c r="AA14" i="75"/>
  <c r="AF14" i="75" s="1"/>
  <c r="AA18" i="75"/>
  <c r="AF18" i="75" s="1"/>
  <c r="AA10" i="75"/>
  <c r="AF10" i="75" s="1"/>
  <c r="AD20" i="75"/>
  <c r="AI20" i="75" s="1"/>
  <c r="AD6" i="75"/>
  <c r="AD12" i="75"/>
  <c r="AI12" i="75" s="1"/>
  <c r="P59" i="40" s="1"/>
  <c r="U65" i="3" s="1"/>
  <c r="AA11" i="75"/>
  <c r="AD10" i="75"/>
  <c r="AI10" i="75" s="1"/>
  <c r="AA12" i="75"/>
  <c r="AF12" i="75" s="1"/>
  <c r="AA22" i="75"/>
  <c r="H66" i="40" s="1"/>
  <c r="S47" i="3" s="1"/>
  <c r="AF22" i="75"/>
  <c r="Q67" i="40"/>
  <c r="Y341" i="62"/>
  <c r="V383" i="62"/>
  <c r="Y425" i="62"/>
  <c r="AD310" i="62"/>
  <c r="AI310" i="62" s="1"/>
  <c r="X404" i="62"/>
  <c r="U341" i="62"/>
  <c r="AA379" i="62"/>
  <c r="AF379" i="62" s="1"/>
  <c r="AA302" i="62"/>
  <c r="AC418" i="62"/>
  <c r="AH418" i="62" s="1"/>
  <c r="Z407" i="62"/>
  <c r="Z411" i="62"/>
  <c r="Z405" i="62"/>
  <c r="AC410" i="62"/>
  <c r="AH410" i="62" s="1"/>
  <c r="Z409" i="62"/>
  <c r="Z406" i="62"/>
  <c r="AE406" i="62" s="1"/>
  <c r="AA313" i="62"/>
  <c r="AF313" i="62" s="1"/>
  <c r="Y404" i="62"/>
  <c r="AD319" i="62"/>
  <c r="AD315" i="62"/>
  <c r="AI315" i="62" s="1"/>
  <c r="AD300" i="62"/>
  <c r="AI300" i="62" s="1"/>
  <c r="AA310" i="62"/>
  <c r="AD301" i="62"/>
  <c r="AI301" i="62" s="1"/>
  <c r="AC309" i="62"/>
  <c r="AH309" i="62" s="1"/>
  <c r="AC306" i="62"/>
  <c r="AH306" i="62" s="1"/>
  <c r="AA420" i="62"/>
  <c r="AF420" i="62" s="1"/>
  <c r="AD415" i="62"/>
  <c r="AI415" i="62" s="1"/>
  <c r="AH326" i="75"/>
  <c r="AE343" i="75"/>
  <c r="AH347" i="75"/>
  <c r="AE337" i="75"/>
  <c r="AF263" i="75"/>
  <c r="AF114" i="75"/>
  <c r="AA131" i="75"/>
  <c r="AH243" i="75"/>
  <c r="AH257" i="75" s="1"/>
  <c r="AC257" i="75"/>
  <c r="AE208" i="75"/>
  <c r="AE364" i="75"/>
  <c r="AI344" i="75"/>
  <c r="Z152" i="75"/>
  <c r="AE146" i="75"/>
  <c r="Z320" i="75"/>
  <c r="AE304" i="75"/>
  <c r="AH268" i="75"/>
  <c r="AC278" i="75"/>
  <c r="AF215" i="75"/>
  <c r="AH377" i="75"/>
  <c r="AH383" i="75" s="1"/>
  <c r="AC383" i="75"/>
  <c r="AH393" i="75"/>
  <c r="AH404" i="75"/>
  <c r="AI236" i="75"/>
  <c r="AF320" i="75"/>
  <c r="AA341" i="75"/>
  <c r="AF324" i="75"/>
  <c r="AF341" i="75" s="1"/>
  <c r="AF223" i="75"/>
  <c r="AA236" i="75"/>
  <c r="AA320" i="75"/>
  <c r="Z299" i="75"/>
  <c r="AE290" i="75"/>
  <c r="AF131" i="75"/>
  <c r="AE299" i="75"/>
  <c r="AI252" i="75"/>
  <c r="AH164" i="75"/>
  <c r="AC173" i="75"/>
  <c r="AF384" i="75"/>
  <c r="AI316" i="75"/>
  <c r="AI320" i="75"/>
  <c r="AD320" i="75"/>
  <c r="AI341" i="75"/>
  <c r="AD341" i="75"/>
  <c r="AI363" i="75"/>
  <c r="C68" i="40"/>
  <c r="AD153" i="75"/>
  <c r="AC228" i="75"/>
  <c r="AH228" i="75"/>
  <c r="AI43" i="75"/>
  <c r="AE39" i="75"/>
  <c r="Z74" i="75"/>
  <c r="AE74" i="75" s="1"/>
  <c r="AC85" i="75"/>
  <c r="AH85" i="75" s="1"/>
  <c r="Z70" i="75"/>
  <c r="Z80" i="75"/>
  <c r="AE80" i="75"/>
  <c r="AC73" i="75"/>
  <c r="Z69" i="75"/>
  <c r="AF156" i="75"/>
  <c r="V173" i="75"/>
  <c r="AA172" i="75"/>
  <c r="AA154" i="75"/>
  <c r="AA156" i="75"/>
  <c r="AD155" i="75"/>
  <c r="AI155" i="75" s="1"/>
  <c r="AA175" i="75"/>
  <c r="AA194" i="75" s="1"/>
  <c r="AD174" i="75"/>
  <c r="AH260" i="75"/>
  <c r="AH278" i="75" s="1"/>
  <c r="X278" i="75"/>
  <c r="Z263" i="75"/>
  <c r="AE263" i="75" s="1"/>
  <c r="Z261" i="75"/>
  <c r="AE261" i="75" s="1"/>
  <c r="Z259" i="75"/>
  <c r="AF31" i="75"/>
  <c r="AH54" i="75"/>
  <c r="AA88" i="75"/>
  <c r="AD81" i="75"/>
  <c r="AI81" i="75"/>
  <c r="AA70" i="75"/>
  <c r="AD69" i="75"/>
  <c r="AA82" i="75"/>
  <c r="AF82" i="75" s="1"/>
  <c r="AA76" i="75"/>
  <c r="AF76" i="75" s="1"/>
  <c r="AF89" i="75" s="1"/>
  <c r="Z403" i="75"/>
  <c r="Z392" i="75"/>
  <c r="AE392" i="75"/>
  <c r="AE404" i="75"/>
  <c r="AA405" i="75"/>
  <c r="AE37" i="75"/>
  <c r="AA37" i="75"/>
  <c r="AD40" i="75"/>
  <c r="AI40" i="75"/>
  <c r="AA39" i="75"/>
  <c r="AD38" i="75"/>
  <c r="AI38" i="75" s="1"/>
  <c r="AA32" i="75"/>
  <c r="AA42" i="75"/>
  <c r="AD36" i="75"/>
  <c r="AI36" i="75"/>
  <c r="AA33" i="75"/>
  <c r="AD35" i="75"/>
  <c r="AA41" i="75"/>
  <c r="AF41" i="75" s="1"/>
  <c r="AA38" i="75"/>
  <c r="AF38" i="75" s="1"/>
  <c r="AD31" i="75"/>
  <c r="AA30" i="75"/>
  <c r="H55" i="40" s="1"/>
  <c r="S36" i="3" s="1"/>
  <c r="AD32" i="75"/>
  <c r="AD34" i="75"/>
  <c r="AD46" i="75"/>
  <c r="AA36" i="75"/>
  <c r="AF36" i="75" s="1"/>
  <c r="AA29" i="75"/>
  <c r="AD37" i="75"/>
  <c r="AD29" i="75"/>
  <c r="AD33" i="75"/>
  <c r="AD39" i="75"/>
  <c r="AA46" i="75"/>
  <c r="AA43" i="75"/>
  <c r="AA34" i="75"/>
  <c r="AD28" i="75"/>
  <c r="AA40" i="75"/>
  <c r="AF40" i="75"/>
  <c r="AD42" i="75"/>
  <c r="AI48" i="75"/>
  <c r="Y68" i="75"/>
  <c r="U89" i="75"/>
  <c r="AE70" i="75"/>
  <c r="Z222" i="75"/>
  <c r="AC216" i="75"/>
  <c r="AC220" i="75"/>
  <c r="AH220" i="75"/>
  <c r="AA385" i="75"/>
  <c r="AF385" i="75" s="1"/>
  <c r="AF404" i="75" s="1"/>
  <c r="AD385" i="75"/>
  <c r="AD404" i="75"/>
  <c r="AA386" i="75"/>
  <c r="AF386" i="75"/>
  <c r="AA403" i="75"/>
  <c r="AC405" i="75"/>
  <c r="AH405" i="75" s="1"/>
  <c r="Z406" i="75"/>
  <c r="AE406" i="75"/>
  <c r="F53" i="40"/>
  <c r="Q53" i="40" s="1"/>
  <c r="AI30" i="75"/>
  <c r="AE29" i="75"/>
  <c r="AE135" i="75"/>
  <c r="AE152" i="75"/>
  <c r="S22" i="3"/>
  <c r="U22" i="3"/>
  <c r="U110" i="75"/>
  <c r="AE92" i="75"/>
  <c r="AE110" i="75" s="1"/>
  <c r="Y194" i="75"/>
  <c r="AI174" i="75"/>
  <c r="AD298" i="75"/>
  <c r="AD287" i="75"/>
  <c r="AD293" i="75"/>
  <c r="AI293" i="75" s="1"/>
  <c r="Y383" i="75"/>
  <c r="U68" i="75"/>
  <c r="AE57" i="75"/>
  <c r="AE59" i="75"/>
  <c r="Z67" i="75"/>
  <c r="AC60" i="75"/>
  <c r="AH60" i="75" s="1"/>
  <c r="AC49" i="75"/>
  <c r="AH49" i="75"/>
  <c r="Z53" i="75"/>
  <c r="AE53" i="75"/>
  <c r="AC50" i="75"/>
  <c r="AH50" i="75"/>
  <c r="Z55" i="75"/>
  <c r="AE55" i="75"/>
  <c r="AC53" i="75"/>
  <c r="AH53" i="75" s="1"/>
  <c r="Z60" i="75"/>
  <c r="AE60" i="75" s="1"/>
  <c r="Z62" i="75"/>
  <c r="AE62" i="75" s="1"/>
  <c r="Z49" i="75"/>
  <c r="AE49" i="75"/>
  <c r="AC51" i="75"/>
  <c r="AH51" i="75"/>
  <c r="Z58" i="75"/>
  <c r="AE58" i="75"/>
  <c r="AC56" i="75"/>
  <c r="Z61" i="75"/>
  <c r="AE61" i="75"/>
  <c r="AC61" i="75"/>
  <c r="AH61" i="75"/>
  <c r="AC64" i="75"/>
  <c r="AH64" i="75"/>
  <c r="AC67" i="75"/>
  <c r="AC68" i="75" s="1"/>
  <c r="Z50" i="75"/>
  <c r="AE50" i="75"/>
  <c r="AC59" i="75"/>
  <c r="AH59" i="75"/>
  <c r="AC57" i="75"/>
  <c r="AH57" i="75" s="1"/>
  <c r="Z54" i="75"/>
  <c r="AE54" i="75" s="1"/>
  <c r="AC62" i="75"/>
  <c r="AH62" i="75" s="1"/>
  <c r="Z48" i="75"/>
  <c r="AC55" i="75"/>
  <c r="AH55" i="75" s="1"/>
  <c r="AC63" i="75"/>
  <c r="AH63" i="75" s="1"/>
  <c r="Z63" i="75"/>
  <c r="AE63" i="75" s="1"/>
  <c r="AC52" i="75"/>
  <c r="Z64" i="75"/>
  <c r="AE64" i="75" s="1"/>
  <c r="AC48" i="75"/>
  <c r="AC174" i="75"/>
  <c r="Z193" i="75"/>
  <c r="Z194" i="75"/>
  <c r="AF267" i="75"/>
  <c r="AD259" i="75"/>
  <c r="AD278" i="75" s="1"/>
  <c r="AA266" i="75"/>
  <c r="AF266" i="75"/>
  <c r="AF278" i="75"/>
  <c r="U425" i="75"/>
  <c r="AD416" i="75"/>
  <c r="AD425" i="75" s="1"/>
  <c r="Z405" i="75"/>
  <c r="F62" i="40"/>
  <c r="AD190" i="75"/>
  <c r="AI190" i="75"/>
  <c r="AI194" i="75" s="1"/>
  <c r="AD365" i="75"/>
  <c r="AI365" i="75"/>
  <c r="AD382" i="75"/>
  <c r="AD383" i="75" s="1"/>
  <c r="AA372" i="75"/>
  <c r="AF372" i="75"/>
  <c r="AA366" i="75"/>
  <c r="AA377" i="75"/>
  <c r="AF377" i="75" s="1"/>
  <c r="AI385" i="75"/>
  <c r="AI404" i="75"/>
  <c r="S21" i="3"/>
  <c r="Z28" i="75"/>
  <c r="Z47" i="75" s="1"/>
  <c r="AC40" i="75"/>
  <c r="AH40" i="75"/>
  <c r="AC29" i="75"/>
  <c r="AC37" i="75"/>
  <c r="Z36" i="75"/>
  <c r="AE36" i="75" s="1"/>
  <c r="Z30" i="75"/>
  <c r="Z33" i="75"/>
  <c r="AC43" i="75"/>
  <c r="AC34" i="75"/>
  <c r="AC28" i="75"/>
  <c r="AC30" i="75"/>
  <c r="AC41" i="75"/>
  <c r="AH41" i="75"/>
  <c r="AC32" i="75"/>
  <c r="AH32" i="75" s="1"/>
  <c r="Z35" i="75"/>
  <c r="Z27" i="75"/>
  <c r="AC38" i="75"/>
  <c r="AH38" i="75"/>
  <c r="Z42" i="75"/>
  <c r="AE42" i="75" s="1"/>
  <c r="AC33" i="75"/>
  <c r="AC36" i="75"/>
  <c r="AH36" i="75" s="1"/>
  <c r="Z32" i="75"/>
  <c r="Z46" i="75"/>
  <c r="Z31" i="75"/>
  <c r="AE31" i="75" s="1"/>
  <c r="AC39" i="75"/>
  <c r="Z41" i="75"/>
  <c r="AE41" i="75"/>
  <c r="Z43" i="75"/>
  <c r="Z34" i="75"/>
  <c r="AC42" i="75"/>
  <c r="AI90" i="75"/>
  <c r="AH155" i="75"/>
  <c r="AH173" i="75" s="1"/>
  <c r="AF228" i="75"/>
  <c r="Z241" i="75"/>
  <c r="Z247" i="75"/>
  <c r="AE247" i="75"/>
  <c r="AA135" i="75"/>
  <c r="AA147" i="75"/>
  <c r="AF147" i="75" s="1"/>
  <c r="AF175" i="75"/>
  <c r="AF194" i="75" s="1"/>
  <c r="V194" i="75"/>
  <c r="X236" i="75"/>
  <c r="Z277" i="75"/>
  <c r="B68" i="40"/>
  <c r="R24" i="3" s="1"/>
  <c r="AA105" i="75"/>
  <c r="AF105" i="75"/>
  <c r="AA99" i="75"/>
  <c r="AF99" i="75" s="1"/>
  <c r="AD91" i="75"/>
  <c r="AI91" i="75" s="1"/>
  <c r="AD94" i="75"/>
  <c r="AI94" i="75"/>
  <c r="AD98" i="75"/>
  <c r="AA91" i="75"/>
  <c r="AA95" i="75"/>
  <c r="AF95" i="75"/>
  <c r="AD92" i="75"/>
  <c r="AI92" i="75"/>
  <c r="AA98" i="75"/>
  <c r="AD106" i="75"/>
  <c r="AI106" i="75" s="1"/>
  <c r="AH118" i="75"/>
  <c r="AH122" i="75"/>
  <c r="AC113" i="75"/>
  <c r="AH113" i="75"/>
  <c r="AC111" i="75"/>
  <c r="AC120" i="75"/>
  <c r="AH120" i="75" s="1"/>
  <c r="Z121" i="75"/>
  <c r="AE121" i="75"/>
  <c r="AC126" i="75"/>
  <c r="AH126" i="75"/>
  <c r="AC112" i="75"/>
  <c r="AH112" i="75"/>
  <c r="Z118" i="75"/>
  <c r="AE118" i="75" s="1"/>
  <c r="AC130" i="75"/>
  <c r="AC117" i="75"/>
  <c r="AH117" i="75" s="1"/>
  <c r="Z126" i="75"/>
  <c r="AE126" i="75"/>
  <c r="Z127" i="75"/>
  <c r="G65" i="40" s="1"/>
  <c r="R46" i="3" s="1"/>
  <c r="AC122" i="75"/>
  <c r="Z116" i="75"/>
  <c r="AE116" i="75" s="1"/>
  <c r="AC127" i="75"/>
  <c r="AH127" i="75" s="1"/>
  <c r="O65" i="40" s="1"/>
  <c r="T71" i="3" s="1"/>
  <c r="AC116" i="75"/>
  <c r="AH116" i="75"/>
  <c r="Z115" i="75"/>
  <c r="AE115" i="75"/>
  <c r="Z120" i="75"/>
  <c r="AE120" i="75" s="1"/>
  <c r="Z112" i="75"/>
  <c r="AC124" i="75"/>
  <c r="AH124" i="75" s="1"/>
  <c r="AC119" i="75"/>
  <c r="AH119" i="75" s="1"/>
  <c r="AC123" i="75"/>
  <c r="AH123" i="75" s="1"/>
  <c r="AC114" i="75"/>
  <c r="AH114" i="75"/>
  <c r="Z113" i="75"/>
  <c r="AE113" i="75"/>
  <c r="Z117" i="75"/>
  <c r="AE117" i="75"/>
  <c r="Z125" i="75"/>
  <c r="AE125" i="75" s="1"/>
  <c r="AC121" i="75"/>
  <c r="AH121" i="75" s="1"/>
  <c r="Z122" i="75"/>
  <c r="AE122" i="75"/>
  <c r="Z347" i="75"/>
  <c r="Z362" i="75" s="1"/>
  <c r="AE347" i="75"/>
  <c r="AE362" i="75" s="1"/>
  <c r="AC352" i="75"/>
  <c r="AH352" i="75"/>
  <c r="AH362" i="75" s="1"/>
  <c r="V404" i="75"/>
  <c r="Z417" i="75"/>
  <c r="AE417" i="75"/>
  <c r="AA85" i="75"/>
  <c r="AF85" i="75"/>
  <c r="AC199" i="75"/>
  <c r="AA347" i="75"/>
  <c r="AA362" i="75" s="1"/>
  <c r="S23" i="3"/>
  <c r="U20" i="3"/>
  <c r="Z340" i="75"/>
  <c r="AA358" i="75"/>
  <c r="AF358" i="75"/>
  <c r="AC327" i="75"/>
  <c r="AH327" i="75"/>
  <c r="AA411" i="75"/>
  <c r="U25" i="3"/>
  <c r="AE259" i="75"/>
  <c r="AE278" i="75"/>
  <c r="AA383" i="75"/>
  <c r="AF366" i="75"/>
  <c r="AF383" i="75" s="1"/>
  <c r="AE69" i="75"/>
  <c r="AE89" i="75" s="1"/>
  <c r="Z89" i="75"/>
  <c r="AH111" i="75"/>
  <c r="AF70" i="75"/>
  <c r="AE241" i="75"/>
  <c r="AE257" i="75"/>
  <c r="Z257" i="75"/>
  <c r="AE33" i="75"/>
  <c r="AI416" i="75"/>
  <c r="AI425" i="75"/>
  <c r="AI34" i="75"/>
  <c r="AF39" i="75"/>
  <c r="AH73" i="75"/>
  <c r="AI383" i="75"/>
  <c r="AD89" i="75"/>
  <c r="AI69" i="75"/>
  <c r="AI89" i="75" s="1"/>
  <c r="Z425" i="75"/>
  <c r="AE405" i="75"/>
  <c r="AE425" i="75"/>
  <c r="AI42" i="75"/>
  <c r="AH33" i="75"/>
  <c r="AE30" i="75"/>
  <c r="AI28" i="75"/>
  <c r="AD47" i="75"/>
  <c r="AI32" i="75"/>
  <c r="AC341" i="75"/>
  <c r="AE28" i="75"/>
  <c r="AE32" i="75"/>
  <c r="H60" i="40"/>
  <c r="S41" i="3" s="1"/>
  <c r="AF34" i="75"/>
  <c r="AF30" i="75"/>
  <c r="AF37" i="75"/>
  <c r="AH56" i="75"/>
  <c r="AA404" i="75"/>
  <c r="AH34" i="75"/>
  <c r="AC425" i="75"/>
  <c r="AH425" i="75"/>
  <c r="H58" i="40"/>
  <c r="S39" i="3" s="1"/>
  <c r="AF32" i="75"/>
  <c r="AH43" i="75"/>
  <c r="AE112" i="75"/>
  <c r="AH37" i="75"/>
  <c r="AF43" i="75"/>
  <c r="AI31" i="75"/>
  <c r="AD194" i="75"/>
  <c r="AH42" i="75"/>
  <c r="AE27" i="75"/>
  <c r="AH216" i="75"/>
  <c r="AH236" i="75"/>
  <c r="AC236" i="75"/>
  <c r="AH52" i="75"/>
  <c r="AE43" i="75"/>
  <c r="J65" i="40"/>
  <c r="T46" i="3" s="1"/>
  <c r="AE34" i="75"/>
  <c r="AE35" i="75"/>
  <c r="AE222" i="75"/>
  <c r="AE236" i="75" s="1"/>
  <c r="Z236" i="75"/>
  <c r="AI39" i="75"/>
  <c r="AF405" i="75"/>
  <c r="AI153" i="75"/>
  <c r="AI173" i="75" s="1"/>
  <c r="AD173" i="75"/>
  <c r="AH174" i="75"/>
  <c r="AH194" i="75" s="1"/>
  <c r="AC194" i="75"/>
  <c r="AI33" i="75"/>
  <c r="AI35" i="75"/>
  <c r="Z404" i="75"/>
  <c r="U24" i="3"/>
  <c r="S24" i="3"/>
  <c r="AF33" i="75"/>
  <c r="AF154" i="75"/>
  <c r="AF173" i="75"/>
  <c r="AA173" i="75"/>
  <c r="AI29" i="75"/>
  <c r="AF135" i="75"/>
  <c r="AF152" i="75" s="1"/>
  <c r="AA152" i="75"/>
  <c r="AH30" i="75"/>
  <c r="AI287" i="75"/>
  <c r="AI299" i="75" s="1"/>
  <c r="AD299" i="75"/>
  <c r="AI37" i="75"/>
  <c r="AC362" i="75"/>
  <c r="AH48" i="75"/>
  <c r="AH68" i="75" s="1"/>
  <c r="AF347" i="75"/>
  <c r="AF362" i="75"/>
  <c r="AF91" i="75"/>
  <c r="AA110" i="75"/>
  <c r="AH39" i="75"/>
  <c r="AH199" i="75"/>
  <c r="AH215" i="75" s="1"/>
  <c r="AC215" i="75"/>
  <c r="AH28" i="75"/>
  <c r="AF29" i="75"/>
  <c r="AA47" i="75"/>
  <c r="AF42" i="75"/>
  <c r="AA278" i="75"/>
  <c r="AA280" i="76"/>
  <c r="AF280" i="76" s="1"/>
  <c r="Y362" i="76"/>
  <c r="Y278" i="76"/>
  <c r="Z162" i="76"/>
  <c r="AE162" i="76" s="1"/>
  <c r="U257" i="76"/>
  <c r="U383" i="76"/>
  <c r="AA289" i="76"/>
  <c r="AF289" i="76" s="1"/>
  <c r="AD279" i="76"/>
  <c r="AI279" i="76" s="1"/>
  <c r="Q23" i="40"/>
  <c r="T14" i="3"/>
  <c r="R9" i="3"/>
  <c r="AI14" i="75"/>
  <c r="U12" i="3"/>
  <c r="S18" i="3"/>
  <c r="U18" i="3"/>
  <c r="Z13" i="75"/>
  <c r="AE13" i="75" s="1"/>
  <c r="L60" i="40" s="1"/>
  <c r="R66" i="3" s="1"/>
  <c r="AC13" i="75"/>
  <c r="AI8" i="75"/>
  <c r="P56" i="40" s="1"/>
  <c r="U62" i="3" s="1"/>
  <c r="E61" i="40"/>
  <c r="T17" i="3" s="1"/>
  <c r="AC14" i="75"/>
  <c r="J61" i="40" s="1"/>
  <c r="T42" i="3" s="1"/>
  <c r="AC11" i="75"/>
  <c r="AH11" i="75" s="1"/>
  <c r="O58" i="40" s="1"/>
  <c r="T64" i="3" s="1"/>
  <c r="AA21" i="75"/>
  <c r="H68" i="40" s="1"/>
  <c r="S49" i="3" s="1"/>
  <c r="AC10" i="75"/>
  <c r="J57" i="40" s="1"/>
  <c r="T38" i="3" s="1"/>
  <c r="E55" i="40"/>
  <c r="Z6" i="75"/>
  <c r="G53" i="40" s="1"/>
  <c r="R34" i="3" s="1"/>
  <c r="AD25" i="75"/>
  <c r="AD7" i="75"/>
  <c r="K54" i="40" s="1"/>
  <c r="U35" i="3" s="1"/>
  <c r="AD17" i="75"/>
  <c r="AA16" i="75"/>
  <c r="H63" i="40" s="1"/>
  <c r="S44" i="3" s="1"/>
  <c r="AC6" i="75"/>
  <c r="C55" i="40"/>
  <c r="U11" i="3" s="1"/>
  <c r="F63" i="40"/>
  <c r="AC9" i="75"/>
  <c r="J55" i="40" s="1"/>
  <c r="T36" i="3" s="1"/>
  <c r="Z10" i="75"/>
  <c r="G57" i="40" s="1"/>
  <c r="R38" i="3" s="1"/>
  <c r="Z90" i="76" l="1"/>
  <c r="AE90" i="76" s="1"/>
  <c r="B39" i="40"/>
  <c r="N18" i="3" s="1"/>
  <c r="Z70" i="76"/>
  <c r="B42" i="40"/>
  <c r="N21" i="3" s="1"/>
  <c r="AA111" i="76"/>
  <c r="AF111" i="76" s="1"/>
  <c r="Q21" i="40"/>
  <c r="M23" i="3"/>
  <c r="E23" i="3" s="1"/>
  <c r="J48" i="3"/>
  <c r="AC207" i="76"/>
  <c r="AH207" i="76" s="1"/>
  <c r="Y299" i="76"/>
  <c r="AA178" i="76"/>
  <c r="AF178" i="76" s="1"/>
  <c r="AC80" i="76"/>
  <c r="AH80" i="76" s="1"/>
  <c r="Z79" i="76"/>
  <c r="AE79" i="76" s="1"/>
  <c r="Z73" i="76"/>
  <c r="AE73" i="76" s="1"/>
  <c r="Z243" i="76"/>
  <c r="AE243" i="76" s="1"/>
  <c r="AD316" i="76"/>
  <c r="AI316" i="76" s="1"/>
  <c r="Z75" i="76"/>
  <c r="AE75" i="76" s="1"/>
  <c r="U47" i="76"/>
  <c r="AC82" i="76"/>
  <c r="AH82" i="76" s="1"/>
  <c r="U68" i="76"/>
  <c r="AD294" i="76"/>
  <c r="AI294" i="76" s="1"/>
  <c r="AA367" i="76"/>
  <c r="AF367" i="76" s="1"/>
  <c r="AC266" i="76"/>
  <c r="AH266" i="76" s="1"/>
  <c r="AC78" i="76"/>
  <c r="AH78" i="76" s="1"/>
  <c r="U110" i="76"/>
  <c r="AC267" i="76"/>
  <c r="AA157" i="76"/>
  <c r="AF157" i="76" s="1"/>
  <c r="AC269" i="76"/>
  <c r="Z353" i="76"/>
  <c r="AE353" i="76" s="1"/>
  <c r="AC27" i="76"/>
  <c r="AH27" i="76" s="1"/>
  <c r="Z62" i="76"/>
  <c r="AE62" i="76" s="1"/>
  <c r="Y68" i="76"/>
  <c r="AA85" i="76"/>
  <c r="AF85" i="76" s="1"/>
  <c r="AD157" i="76"/>
  <c r="AI157" i="76" s="1"/>
  <c r="AD203" i="76"/>
  <c r="AI203" i="76" s="1"/>
  <c r="AC270" i="76"/>
  <c r="AH270" i="76" s="1"/>
  <c r="AA327" i="76"/>
  <c r="AF327" i="76" s="1"/>
  <c r="AD7" i="76"/>
  <c r="AD53" i="76"/>
  <c r="AI53" i="76" s="1"/>
  <c r="AC84" i="76"/>
  <c r="AH84" i="76" s="1"/>
  <c r="Z151" i="76"/>
  <c r="U173" i="76"/>
  <c r="AC158" i="76"/>
  <c r="AH158" i="76" s="1"/>
  <c r="U194" i="76"/>
  <c r="Z186" i="76"/>
  <c r="AE186" i="76" s="1"/>
  <c r="AC208" i="76"/>
  <c r="AH208" i="76" s="1"/>
  <c r="U236" i="76"/>
  <c r="AC216" i="76"/>
  <c r="AC247" i="76"/>
  <c r="AH247" i="76" s="1"/>
  <c r="AA263" i="76"/>
  <c r="AF263" i="76" s="1"/>
  <c r="AD301" i="76"/>
  <c r="AI301" i="76" s="1"/>
  <c r="Z335" i="76"/>
  <c r="AE335" i="76" s="1"/>
  <c r="V362" i="76"/>
  <c r="AD353" i="76"/>
  <c r="AI353" i="76" s="1"/>
  <c r="Z373" i="76"/>
  <c r="AE373" i="76" s="1"/>
  <c r="AD322" i="76"/>
  <c r="AI322" i="76" s="1"/>
  <c r="Z396" i="76"/>
  <c r="AE396" i="76" s="1"/>
  <c r="X278" i="76"/>
  <c r="AA182" i="76"/>
  <c r="AF182" i="76" s="1"/>
  <c r="AC400" i="76"/>
  <c r="AH400" i="76" s="1"/>
  <c r="Z268" i="76"/>
  <c r="AE268" i="76" s="1"/>
  <c r="V68" i="76"/>
  <c r="X110" i="76"/>
  <c r="Z34" i="76"/>
  <c r="AE34" i="76" s="1"/>
  <c r="Z390" i="76"/>
  <c r="AE390" i="76" s="1"/>
  <c r="Z265" i="76"/>
  <c r="AE265" i="76" s="1"/>
  <c r="AA335" i="76"/>
  <c r="AF335" i="76" s="1"/>
  <c r="U26" i="76"/>
  <c r="AC42" i="76"/>
  <c r="AH42" i="76" s="1"/>
  <c r="AA51" i="76"/>
  <c r="AF51" i="76" s="1"/>
  <c r="Z277" i="76"/>
  <c r="AC81" i="76"/>
  <c r="AH81" i="76" s="1"/>
  <c r="AD168" i="76"/>
  <c r="AI168" i="76" s="1"/>
  <c r="AC263" i="76"/>
  <c r="AC274" i="76"/>
  <c r="AH274" i="76" s="1"/>
  <c r="AC303" i="76"/>
  <c r="AH303" i="76" s="1"/>
  <c r="R25" i="3"/>
  <c r="B40" i="40"/>
  <c r="N19" i="3" s="1"/>
  <c r="AC392" i="76"/>
  <c r="Z63" i="76"/>
  <c r="AE63" i="76" s="1"/>
  <c r="AC261" i="76"/>
  <c r="AH261" i="76" s="1"/>
  <c r="Z260" i="76"/>
  <c r="AE260" i="76" s="1"/>
  <c r="Z261" i="76"/>
  <c r="AE261" i="76" s="1"/>
  <c r="Q44" i="40"/>
  <c r="Z159" i="76"/>
  <c r="AE159" i="76" s="1"/>
  <c r="AC186" i="76"/>
  <c r="AH186" i="76" s="1"/>
  <c r="Z198" i="76"/>
  <c r="AE198" i="76" s="1"/>
  <c r="AD398" i="76"/>
  <c r="AI398" i="76" s="1"/>
  <c r="AC421" i="76"/>
  <c r="AH421" i="76" s="1"/>
  <c r="B41" i="40"/>
  <c r="N20" i="3" s="1"/>
  <c r="C45" i="40"/>
  <c r="O24" i="3" s="1"/>
  <c r="AD253" i="76"/>
  <c r="AI253" i="76" s="1"/>
  <c r="AA287" i="76"/>
  <c r="AF287" i="76" s="1"/>
  <c r="X320" i="76"/>
  <c r="AC313" i="76"/>
  <c r="AH313" i="76" s="1"/>
  <c r="AA334" i="76"/>
  <c r="AF334" i="76" s="1"/>
  <c r="X362" i="76"/>
  <c r="AA375" i="76"/>
  <c r="AF375" i="76" s="1"/>
  <c r="AD374" i="76"/>
  <c r="X404" i="76"/>
  <c r="Z395" i="76"/>
  <c r="AE395" i="76" s="1"/>
  <c r="AD415" i="76"/>
  <c r="AI415" i="76" s="1"/>
  <c r="Y425" i="76"/>
  <c r="U341" i="76"/>
  <c r="X341" i="76"/>
  <c r="AC305" i="76"/>
  <c r="AH305" i="76" s="1"/>
  <c r="Y236" i="76"/>
  <c r="AA374" i="76"/>
  <c r="AF374" i="76" s="1"/>
  <c r="Z258" i="76"/>
  <c r="AE258" i="76" s="1"/>
  <c r="AH216" i="76"/>
  <c r="Z77" i="76"/>
  <c r="AE77" i="76" s="1"/>
  <c r="AD376" i="76"/>
  <c r="AC264" i="76"/>
  <c r="AH264" i="76" s="1"/>
  <c r="Z302" i="76"/>
  <c r="AE302" i="76" s="1"/>
  <c r="Z391" i="76"/>
  <c r="AE391" i="76" s="1"/>
  <c r="V404" i="76"/>
  <c r="AC258" i="76"/>
  <c r="AH258" i="76" s="1"/>
  <c r="AD303" i="62"/>
  <c r="AI303" i="62" s="1"/>
  <c r="AD311" i="62"/>
  <c r="AI311" i="62" s="1"/>
  <c r="AC415" i="62"/>
  <c r="AH415" i="62" s="1"/>
  <c r="AA311" i="62"/>
  <c r="AF311" i="62" s="1"/>
  <c r="Z340" i="62"/>
  <c r="AA303" i="62"/>
  <c r="AF303" i="62" s="1"/>
  <c r="Z413" i="62"/>
  <c r="AC413" i="62"/>
  <c r="AH413" i="62" s="1"/>
  <c r="AC419" i="62"/>
  <c r="AH419" i="62" s="1"/>
  <c r="AD307" i="62"/>
  <c r="AI307" i="62" s="1"/>
  <c r="AD309" i="62"/>
  <c r="AI309" i="62" s="1"/>
  <c r="AA315" i="62"/>
  <c r="AF315" i="62" s="1"/>
  <c r="AD316" i="62"/>
  <c r="AI316" i="62" s="1"/>
  <c r="AC411" i="62"/>
  <c r="AH411" i="62" s="1"/>
  <c r="AD314" i="62"/>
  <c r="AI314" i="62" s="1"/>
  <c r="AA314" i="62"/>
  <c r="AD302" i="62"/>
  <c r="AI302" i="62" s="1"/>
  <c r="AA307" i="62"/>
  <c r="AF307" i="62" s="1"/>
  <c r="AD304" i="62"/>
  <c r="AI304" i="62" s="1"/>
  <c r="AA312" i="62"/>
  <c r="Z421" i="62"/>
  <c r="Z420" i="62"/>
  <c r="AE420" i="62" s="1"/>
  <c r="AA309" i="62"/>
  <c r="AF309" i="62" s="1"/>
  <c r="AA316" i="62"/>
  <c r="AF316" i="62" s="1"/>
  <c r="AC416" i="62"/>
  <c r="AH416" i="62" s="1"/>
  <c r="AC405" i="62"/>
  <c r="AH405" i="62" s="1"/>
  <c r="AC417" i="62"/>
  <c r="AH417" i="62" s="1"/>
  <c r="Z308" i="62"/>
  <c r="AD313" i="62"/>
  <c r="AI313" i="62" s="1"/>
  <c r="AD306" i="62"/>
  <c r="AI306" i="62" s="1"/>
  <c r="AA304" i="62"/>
  <c r="I23" i="3"/>
  <c r="Z424" i="62"/>
  <c r="AD305" i="62"/>
  <c r="AI305" i="62" s="1"/>
  <c r="Z410" i="62"/>
  <c r="AD308" i="62"/>
  <c r="AI308" i="62" s="1"/>
  <c r="AA319" i="62"/>
  <c r="AA301" i="62"/>
  <c r="AF301" i="62" s="1"/>
  <c r="AA306" i="62"/>
  <c r="AA300" i="62"/>
  <c r="AC302" i="62"/>
  <c r="AH302" i="62" s="1"/>
  <c r="Z302" i="62"/>
  <c r="Z309" i="62"/>
  <c r="AE309" i="62" s="1"/>
  <c r="AC304" i="62"/>
  <c r="AH304" i="62" s="1"/>
  <c r="AC301" i="62"/>
  <c r="AH301" i="62" s="1"/>
  <c r="Z315" i="62"/>
  <c r="AE315" i="62" s="1"/>
  <c r="Z314" i="62"/>
  <c r="AE314" i="62" s="1"/>
  <c r="AC300" i="62"/>
  <c r="AH300" i="62" s="1"/>
  <c r="Z301" i="62"/>
  <c r="AE301" i="62" s="1"/>
  <c r="AC316" i="62"/>
  <c r="AH316" i="62" s="1"/>
  <c r="Z303" i="62"/>
  <c r="AE303" i="62" s="1"/>
  <c r="P62" i="40"/>
  <c r="U68" i="3" s="1"/>
  <c r="H56" i="40"/>
  <c r="S37" i="3" s="1"/>
  <c r="AF21" i="75"/>
  <c r="M68" i="40" s="1"/>
  <c r="S74" i="3" s="1"/>
  <c r="B48" i="3"/>
  <c r="AD26" i="75"/>
  <c r="AI7" i="75"/>
  <c r="Q58" i="40"/>
  <c r="K59" i="40"/>
  <c r="U40" i="3" s="1"/>
  <c r="I73" i="3"/>
  <c r="AI6" i="75"/>
  <c r="P53" i="40" s="1"/>
  <c r="U59" i="3" s="1"/>
  <c r="K60" i="40"/>
  <c r="U41" i="3" s="1"/>
  <c r="K58" i="40"/>
  <c r="U39" i="3" s="1"/>
  <c r="P58" i="40"/>
  <c r="U64" i="3" s="1"/>
  <c r="U14" i="3"/>
  <c r="S14" i="3"/>
  <c r="S16" i="3"/>
  <c r="U16" i="3"/>
  <c r="AI17" i="75"/>
  <c r="AI15" i="75"/>
  <c r="AF17" i="75"/>
  <c r="Q60" i="40"/>
  <c r="C59" i="40"/>
  <c r="C61" i="40"/>
  <c r="K62" i="40"/>
  <c r="U43" i="3" s="1"/>
  <c r="AF13" i="75"/>
  <c r="M60" i="40" s="1"/>
  <c r="S66" i="3" s="1"/>
  <c r="S9" i="3"/>
  <c r="AF11" i="75"/>
  <c r="Y26" i="75"/>
  <c r="AF16" i="75"/>
  <c r="M63" i="40" s="1"/>
  <c r="S69" i="3" s="1"/>
  <c r="Q55" i="40"/>
  <c r="AI13" i="75"/>
  <c r="P60" i="40" s="1"/>
  <c r="U66" i="3" s="1"/>
  <c r="V26" i="75"/>
  <c r="C52" i="40" s="1"/>
  <c r="S8" i="3" s="1"/>
  <c r="M66" i="40"/>
  <c r="S72" i="3" s="1"/>
  <c r="H62" i="40"/>
  <c r="S43" i="3" s="1"/>
  <c r="P68" i="40"/>
  <c r="U74" i="3" s="1"/>
  <c r="F52" i="40"/>
  <c r="U8" i="3" s="1"/>
  <c r="AF15" i="75"/>
  <c r="S11" i="3"/>
  <c r="K68" i="40"/>
  <c r="U49" i="3" s="1"/>
  <c r="AF6" i="75"/>
  <c r="M53" i="40" s="1"/>
  <c r="S59" i="3" s="1"/>
  <c r="C63" i="40"/>
  <c r="C54" i="40"/>
  <c r="Q68" i="40"/>
  <c r="T24" i="3"/>
  <c r="AH10" i="75"/>
  <c r="O57" i="40" s="1"/>
  <c r="T63" i="3" s="1"/>
  <c r="AH13" i="75"/>
  <c r="J63" i="40"/>
  <c r="T44" i="3" s="1"/>
  <c r="AH16" i="75"/>
  <c r="O63" i="40" s="1"/>
  <c r="T69" i="3" s="1"/>
  <c r="AE10" i="75"/>
  <c r="L57" i="40" s="1"/>
  <c r="R63" i="3" s="1"/>
  <c r="Q56" i="40"/>
  <c r="AH14" i="75"/>
  <c r="O61" i="40" s="1"/>
  <c r="T67" i="3" s="1"/>
  <c r="Z18" i="75"/>
  <c r="G62" i="40" s="1"/>
  <c r="R43" i="3" s="1"/>
  <c r="Z19" i="75"/>
  <c r="AE19" i="75" s="1"/>
  <c r="Z8" i="75"/>
  <c r="Z25" i="75"/>
  <c r="F50" i="3"/>
  <c r="J58" i="40"/>
  <c r="T39" i="3" s="1"/>
  <c r="Z16" i="75"/>
  <c r="T11" i="3"/>
  <c r="E59" i="40"/>
  <c r="T15" i="3" s="1"/>
  <c r="Z12" i="75"/>
  <c r="AC25" i="75"/>
  <c r="Z22" i="75"/>
  <c r="Z7" i="75"/>
  <c r="AE7" i="75" s="1"/>
  <c r="F23" i="3"/>
  <c r="G60" i="40"/>
  <c r="R41" i="3" s="1"/>
  <c r="AC20" i="75"/>
  <c r="AH20" i="75" s="1"/>
  <c r="AC7" i="75"/>
  <c r="AH7" i="75" s="1"/>
  <c r="Q66" i="40"/>
  <c r="B62" i="40"/>
  <c r="R18" i="3" s="1"/>
  <c r="J60" i="40"/>
  <c r="T41" i="3" s="1"/>
  <c r="Z9" i="75"/>
  <c r="AC18" i="75"/>
  <c r="J62" i="40" s="1"/>
  <c r="T43" i="3" s="1"/>
  <c r="T16" i="3"/>
  <c r="AH9" i="75"/>
  <c r="O55" i="40" s="1"/>
  <c r="T61" i="3" s="1"/>
  <c r="X26" i="75"/>
  <c r="E52" i="40" s="1"/>
  <c r="Z21" i="75"/>
  <c r="AE21" i="75" s="1"/>
  <c r="Z15" i="75"/>
  <c r="AE15" i="75" s="1"/>
  <c r="AC8" i="75"/>
  <c r="J56" i="40" s="1"/>
  <c r="T37" i="3" s="1"/>
  <c r="Z20" i="75"/>
  <c r="AE20" i="75" s="1"/>
  <c r="AE6" i="75"/>
  <c r="AC19" i="75"/>
  <c r="AH19" i="75" s="1"/>
  <c r="Z14" i="75"/>
  <c r="G61" i="40" s="1"/>
  <c r="R42" i="3" s="1"/>
  <c r="Z17" i="75"/>
  <c r="AE17" i="75" s="1"/>
  <c r="AC15" i="75"/>
  <c r="AH15" i="75" s="1"/>
  <c r="AC12" i="75"/>
  <c r="J59" i="40" s="1"/>
  <c r="T40" i="3" s="1"/>
  <c r="AC22" i="75"/>
  <c r="Z11" i="75"/>
  <c r="Q65" i="40"/>
  <c r="AI376" i="76"/>
  <c r="AC206" i="76"/>
  <c r="AH206" i="76" s="1"/>
  <c r="AA389" i="76"/>
  <c r="AF389" i="76" s="1"/>
  <c r="AC156" i="76"/>
  <c r="AH156" i="76" s="1"/>
  <c r="AD303" i="76"/>
  <c r="AI303" i="76" s="1"/>
  <c r="AC378" i="76"/>
  <c r="AH378" i="76" s="1"/>
  <c r="B45" i="40"/>
  <c r="N24" i="3" s="1"/>
  <c r="AD405" i="76"/>
  <c r="U278" i="76"/>
  <c r="U404" i="76"/>
  <c r="AD334" i="76"/>
  <c r="AI334" i="76" s="1"/>
  <c r="AD364" i="76"/>
  <c r="AI364" i="76" s="1"/>
  <c r="AD167" i="76"/>
  <c r="AI167" i="76" s="1"/>
  <c r="AC175" i="76"/>
  <c r="AH175" i="76" s="1"/>
  <c r="AA281" i="76"/>
  <c r="AF281" i="76" s="1"/>
  <c r="Z267" i="76"/>
  <c r="AE267" i="76" s="1"/>
  <c r="Z274" i="76"/>
  <c r="AE274" i="76" s="1"/>
  <c r="AA391" i="76"/>
  <c r="AF391" i="76" s="1"/>
  <c r="AD328" i="76"/>
  <c r="AI328" i="76" s="1"/>
  <c r="Z264" i="76"/>
  <c r="AE264" i="76" s="1"/>
  <c r="AD208" i="76"/>
  <c r="AI208" i="76" s="1"/>
  <c r="Z172" i="76"/>
  <c r="Z245" i="76"/>
  <c r="AE245" i="76" s="1"/>
  <c r="AD311" i="76"/>
  <c r="AI311" i="76" s="1"/>
  <c r="AC371" i="76"/>
  <c r="AH371" i="76" s="1"/>
  <c r="AA307" i="76"/>
  <c r="AF307" i="76" s="1"/>
  <c r="AD300" i="76"/>
  <c r="AI300" i="76" s="1"/>
  <c r="Z240" i="76"/>
  <c r="AE240" i="76" s="1"/>
  <c r="AD154" i="76"/>
  <c r="AI154" i="76" s="1"/>
  <c r="AA181" i="76"/>
  <c r="AF181" i="76" s="1"/>
  <c r="AA214" i="76"/>
  <c r="AA364" i="76"/>
  <c r="AF364" i="76" s="1"/>
  <c r="AA155" i="76"/>
  <c r="AF155" i="76" s="1"/>
  <c r="AC184" i="76"/>
  <c r="AH184" i="76" s="1"/>
  <c r="Z269" i="76"/>
  <c r="AE269" i="76" s="1"/>
  <c r="Z270" i="76"/>
  <c r="AE270" i="76" s="1"/>
  <c r="AC265" i="76"/>
  <c r="AD387" i="76"/>
  <c r="AI387" i="76" s="1"/>
  <c r="AD358" i="76"/>
  <c r="AI358" i="76" s="1"/>
  <c r="Z272" i="76"/>
  <c r="AE272" i="76" s="1"/>
  <c r="AC153" i="76"/>
  <c r="AH153" i="76" s="1"/>
  <c r="AC169" i="76"/>
  <c r="AH169" i="76" s="1"/>
  <c r="Z229" i="76"/>
  <c r="AE229" i="76" s="1"/>
  <c r="AC334" i="76"/>
  <c r="AH334" i="76" s="1"/>
  <c r="AA354" i="76"/>
  <c r="AF354" i="76" s="1"/>
  <c r="AA262" i="76"/>
  <c r="AC382" i="76"/>
  <c r="AC397" i="76"/>
  <c r="AH397" i="76" s="1"/>
  <c r="AD232" i="76"/>
  <c r="AI232" i="76" s="1"/>
  <c r="AA340" i="76"/>
  <c r="AA333" i="76"/>
  <c r="AF333" i="76" s="1"/>
  <c r="AC365" i="76"/>
  <c r="AH365" i="76" s="1"/>
  <c r="AD164" i="76"/>
  <c r="AI164" i="76" s="1"/>
  <c r="AC189" i="76"/>
  <c r="AH189" i="76" s="1"/>
  <c r="AC268" i="76"/>
  <c r="AH268" i="76" s="1"/>
  <c r="AC271" i="76"/>
  <c r="AH271" i="76" s="1"/>
  <c r="AC260" i="76"/>
  <c r="AH260" i="76" s="1"/>
  <c r="AA390" i="76"/>
  <c r="AF390" i="76" s="1"/>
  <c r="AA355" i="76"/>
  <c r="AF355" i="76" s="1"/>
  <c r="AA176" i="76"/>
  <c r="AF176" i="76" s="1"/>
  <c r="Z418" i="76"/>
  <c r="AE418" i="76" s="1"/>
  <c r="AD349" i="76"/>
  <c r="AI349" i="76" s="1"/>
  <c r="AD265" i="76"/>
  <c r="AI265" i="76" s="1"/>
  <c r="AC366" i="76"/>
  <c r="AH366" i="76" s="1"/>
  <c r="Z169" i="76"/>
  <c r="AE169" i="76" s="1"/>
  <c r="Z408" i="76"/>
  <c r="AE408" i="76" s="1"/>
  <c r="AA388" i="76"/>
  <c r="AF388" i="76" s="1"/>
  <c r="AD355" i="76"/>
  <c r="AI355" i="76" s="1"/>
  <c r="AA308" i="76"/>
  <c r="AF308" i="76" s="1"/>
  <c r="AD351" i="76"/>
  <c r="AI351" i="76" s="1"/>
  <c r="AA311" i="76"/>
  <c r="AF311" i="76" s="1"/>
  <c r="AD357" i="76"/>
  <c r="AI357" i="76" s="1"/>
  <c r="Z204" i="76"/>
  <c r="AE204" i="76" s="1"/>
  <c r="Z177" i="76"/>
  <c r="Z262" i="76"/>
  <c r="AE262" i="76" s="1"/>
  <c r="AC259" i="76"/>
  <c r="AC228" i="76"/>
  <c r="AH228" i="76" s="1"/>
  <c r="Z397" i="76"/>
  <c r="AE397" i="76" s="1"/>
  <c r="AA316" i="76"/>
  <c r="AF316" i="76" s="1"/>
  <c r="AA266" i="76"/>
  <c r="AF266" i="76" s="1"/>
  <c r="AC301" i="76"/>
  <c r="AH301" i="76" s="1"/>
  <c r="AD384" i="76"/>
  <c r="AI384" i="76" s="1"/>
  <c r="Z325" i="76"/>
  <c r="AE325" i="76" s="1"/>
  <c r="AC393" i="76"/>
  <c r="AH393" i="76" s="1"/>
  <c r="AA282" i="76"/>
  <c r="AF282" i="76" s="1"/>
  <c r="Z266" i="76"/>
  <c r="AE266" i="76" s="1"/>
  <c r="F33" i="40"/>
  <c r="Q12" i="3" s="1"/>
  <c r="C43" i="40"/>
  <c r="O22" i="3" s="1"/>
  <c r="AD267" i="76"/>
  <c r="AI267" i="76" s="1"/>
  <c r="X173" i="76"/>
  <c r="X215" i="76"/>
  <c r="AC224" i="76"/>
  <c r="AH224" i="76" s="1"/>
  <c r="U299" i="76"/>
  <c r="Z410" i="76"/>
  <c r="AE410" i="76" s="1"/>
  <c r="AC174" i="76"/>
  <c r="AH174" i="76" s="1"/>
  <c r="Z227" i="76"/>
  <c r="AE227" i="76" s="1"/>
  <c r="AD264" i="76"/>
  <c r="AI264" i="76" s="1"/>
  <c r="AA395" i="76"/>
  <c r="AF395" i="76" s="1"/>
  <c r="Z337" i="76"/>
  <c r="AE337" i="76" s="1"/>
  <c r="Z154" i="76"/>
  <c r="AE154" i="76" s="1"/>
  <c r="AC307" i="76"/>
  <c r="AH307" i="76" s="1"/>
  <c r="AC310" i="76"/>
  <c r="AH310" i="76" s="1"/>
  <c r="AC398" i="76"/>
  <c r="AH398" i="76" s="1"/>
  <c r="Z206" i="76"/>
  <c r="AE206" i="76" s="1"/>
  <c r="AC183" i="76"/>
  <c r="AH183" i="76" s="1"/>
  <c r="AC273" i="76"/>
  <c r="AH273" i="76" s="1"/>
  <c r="Z263" i="76"/>
  <c r="AE263" i="76" s="1"/>
  <c r="AA321" i="76"/>
  <c r="AF321" i="76" s="1"/>
  <c r="Z228" i="76"/>
  <c r="AE228" i="76" s="1"/>
  <c r="AC403" i="76"/>
  <c r="AA304" i="76"/>
  <c r="AF304" i="76" s="1"/>
  <c r="AC168" i="76"/>
  <c r="AH168" i="76" s="1"/>
  <c r="Z314" i="76"/>
  <c r="AE314" i="76" s="1"/>
  <c r="Z326" i="76"/>
  <c r="AE326" i="76" s="1"/>
  <c r="AD406" i="76"/>
  <c r="AI406" i="76" s="1"/>
  <c r="AD368" i="76"/>
  <c r="AI368" i="76" s="1"/>
  <c r="Z273" i="76"/>
  <c r="AE273" i="76" s="1"/>
  <c r="Z259" i="76"/>
  <c r="AE259" i="76" s="1"/>
  <c r="Z416" i="76"/>
  <c r="AE416" i="76" s="1"/>
  <c r="Z232" i="76"/>
  <c r="AE232" i="76" s="1"/>
  <c r="AC277" i="76"/>
  <c r="AC316" i="76"/>
  <c r="AH316" i="76" s="1"/>
  <c r="AC374" i="76"/>
  <c r="AH374" i="76" s="1"/>
  <c r="AC325" i="76"/>
  <c r="AH325" i="76" s="1"/>
  <c r="AC413" i="76"/>
  <c r="AH413" i="76" s="1"/>
  <c r="AA405" i="76"/>
  <c r="AF405" i="76" s="1"/>
  <c r="AC185" i="76"/>
  <c r="AH185" i="76" s="1"/>
  <c r="Z195" i="76"/>
  <c r="AE195" i="76" s="1"/>
  <c r="Z414" i="76"/>
  <c r="AE414" i="76" s="1"/>
  <c r="Z224" i="76"/>
  <c r="AE224" i="76" s="1"/>
  <c r="AC161" i="76"/>
  <c r="AH161" i="76" s="1"/>
  <c r="Z252" i="76"/>
  <c r="AE252" i="76" s="1"/>
  <c r="AC369" i="76"/>
  <c r="AH369" i="76" s="1"/>
  <c r="AC323" i="76"/>
  <c r="AH323" i="76" s="1"/>
  <c r="AC419" i="76"/>
  <c r="AH419" i="76" s="1"/>
  <c r="AA363" i="76"/>
  <c r="AF363" i="76" s="1"/>
  <c r="AC200" i="76"/>
  <c r="AH200" i="76" s="1"/>
  <c r="AA292" i="76"/>
  <c r="AF292" i="76" s="1"/>
  <c r="AC272" i="76"/>
  <c r="AH272" i="76" s="1"/>
  <c r="Z271" i="76"/>
  <c r="Z420" i="76"/>
  <c r="AE420" i="76" s="1"/>
  <c r="Z241" i="76"/>
  <c r="AE241" i="76" s="1"/>
  <c r="AC166" i="76"/>
  <c r="AH166" i="76" s="1"/>
  <c r="AC240" i="76"/>
  <c r="AH240" i="76" s="1"/>
  <c r="AA369" i="76"/>
  <c r="AF369" i="76" s="1"/>
  <c r="AD134" i="76"/>
  <c r="AI134" i="76" s="1"/>
  <c r="F36" i="40"/>
  <c r="Q15" i="3" s="1"/>
  <c r="F39" i="40"/>
  <c r="Q18" i="3" s="1"/>
  <c r="C31" i="40"/>
  <c r="O10" i="3" s="1"/>
  <c r="F43" i="40"/>
  <c r="Q22" i="3" s="1"/>
  <c r="B37" i="40"/>
  <c r="N16" i="3" s="1"/>
  <c r="B34" i="40"/>
  <c r="N13" i="3" s="1"/>
  <c r="G75" i="3"/>
  <c r="AA120" i="76"/>
  <c r="AF120" i="76" s="1"/>
  <c r="B75" i="3"/>
  <c r="AA118" i="76"/>
  <c r="AF118" i="76" s="1"/>
  <c r="AA117" i="76"/>
  <c r="AF117" i="76" s="1"/>
  <c r="AD121" i="76"/>
  <c r="AI121" i="76" s="1"/>
  <c r="AD114" i="76"/>
  <c r="AI114" i="76" s="1"/>
  <c r="AD119" i="76"/>
  <c r="AI119" i="76" s="1"/>
  <c r="B36" i="40"/>
  <c r="N15" i="3" s="1"/>
  <c r="B31" i="40"/>
  <c r="N10" i="3" s="1"/>
  <c r="B32" i="40"/>
  <c r="N11" i="3" s="1"/>
  <c r="B35" i="40"/>
  <c r="N14" i="3" s="1"/>
  <c r="E43" i="40"/>
  <c r="P22" i="3" s="1"/>
  <c r="Z137" i="76"/>
  <c r="AE137" i="76" s="1"/>
  <c r="AC113" i="76"/>
  <c r="AH113" i="76" s="1"/>
  <c r="AD105" i="76"/>
  <c r="AI105" i="76" s="1"/>
  <c r="AC97" i="76"/>
  <c r="AH97" i="76" s="1"/>
  <c r="AC105" i="76"/>
  <c r="AH105" i="76" s="1"/>
  <c r="Z100" i="76"/>
  <c r="AE100" i="76" s="1"/>
  <c r="AD97" i="76"/>
  <c r="AI97" i="76" s="1"/>
  <c r="AA104" i="76"/>
  <c r="AF104" i="76" s="1"/>
  <c r="AD106" i="76"/>
  <c r="AI106" i="76" s="1"/>
  <c r="AA102" i="76"/>
  <c r="AF102" i="76" s="1"/>
  <c r="AA98" i="76"/>
  <c r="AF98" i="76" s="1"/>
  <c r="AA97" i="76"/>
  <c r="AF97" i="76" s="1"/>
  <c r="AD91" i="76"/>
  <c r="AI91" i="76" s="1"/>
  <c r="AA105" i="76"/>
  <c r="AF105" i="76" s="1"/>
  <c r="AD90" i="76"/>
  <c r="AI90" i="76" s="1"/>
  <c r="B38" i="40"/>
  <c r="N17" i="3" s="1"/>
  <c r="Z92" i="76"/>
  <c r="AE92" i="76" s="1"/>
  <c r="AC98" i="76"/>
  <c r="AH98" i="76" s="1"/>
  <c r="Z91" i="76"/>
  <c r="AE91" i="76" s="1"/>
  <c r="Z101" i="76"/>
  <c r="AE101" i="76" s="1"/>
  <c r="Z102" i="76"/>
  <c r="AE102" i="76" s="1"/>
  <c r="AC100" i="76"/>
  <c r="AH100" i="76" s="1"/>
  <c r="AC96" i="76"/>
  <c r="AH96" i="76" s="1"/>
  <c r="Z105" i="76"/>
  <c r="AE105" i="76" s="1"/>
  <c r="Z106" i="76"/>
  <c r="AE106" i="76" s="1"/>
  <c r="AA88" i="76"/>
  <c r="AD75" i="76"/>
  <c r="AI75" i="76" s="1"/>
  <c r="C34" i="40"/>
  <c r="O13" i="3" s="1"/>
  <c r="C38" i="40"/>
  <c r="O17" i="3" s="1"/>
  <c r="Y89" i="76"/>
  <c r="AA71" i="76"/>
  <c r="AF71" i="76" s="1"/>
  <c r="AD81" i="76"/>
  <c r="AI81" i="76" s="1"/>
  <c r="AD77" i="76"/>
  <c r="AI77" i="76" s="1"/>
  <c r="AA82" i="76"/>
  <c r="AF82" i="76" s="1"/>
  <c r="AD88" i="76"/>
  <c r="AD82" i="76"/>
  <c r="AI82" i="76" s="1"/>
  <c r="AD84" i="76"/>
  <c r="AI84" i="76" s="1"/>
  <c r="AD76" i="76"/>
  <c r="AI76" i="76" s="1"/>
  <c r="AA72" i="76"/>
  <c r="AF72" i="76" s="1"/>
  <c r="E34" i="40"/>
  <c r="P13" i="3" s="1"/>
  <c r="Z80" i="76"/>
  <c r="AE80" i="76" s="1"/>
  <c r="E36" i="40"/>
  <c r="P15" i="3" s="1"/>
  <c r="E32" i="40"/>
  <c r="P11" i="3" s="1"/>
  <c r="E42" i="40"/>
  <c r="P21" i="3" s="1"/>
  <c r="AA228" i="76"/>
  <c r="AF228" i="76" s="1"/>
  <c r="AD409" i="76"/>
  <c r="AI409" i="76" s="1"/>
  <c r="AA407" i="76"/>
  <c r="AF407" i="76" s="1"/>
  <c r="AD50" i="76"/>
  <c r="AI50" i="76" s="1"/>
  <c r="E40" i="40"/>
  <c r="P19" i="3" s="1"/>
  <c r="AC114" i="76"/>
  <c r="AH114" i="76" s="1"/>
  <c r="U152" i="76"/>
  <c r="AE177" i="76"/>
  <c r="X194" i="76"/>
  <c r="U215" i="76"/>
  <c r="Z216" i="76"/>
  <c r="AE216" i="76" s="1"/>
  <c r="AD261" i="76"/>
  <c r="AI261" i="76" s="1"/>
  <c r="AC288" i="76"/>
  <c r="AH288" i="76" s="1"/>
  <c r="X299" i="76"/>
  <c r="V320" i="76"/>
  <c r="AA315" i="76"/>
  <c r="AC326" i="76"/>
  <c r="AH326" i="76" s="1"/>
  <c r="AA348" i="76"/>
  <c r="AF348" i="76" s="1"/>
  <c r="Z375" i="76"/>
  <c r="AE375" i="76" s="1"/>
  <c r="AD397" i="76"/>
  <c r="AI397" i="76" s="1"/>
  <c r="Z419" i="76"/>
  <c r="AE419" i="76" s="1"/>
  <c r="C41" i="40"/>
  <c r="O20" i="3" s="1"/>
  <c r="Y110" i="76"/>
  <c r="Y383" i="76"/>
  <c r="AA116" i="76"/>
  <c r="AF116" i="76" s="1"/>
  <c r="AA69" i="76"/>
  <c r="AF69" i="76" s="1"/>
  <c r="AD71" i="76"/>
  <c r="AI71" i="76" s="1"/>
  <c r="Z33" i="76"/>
  <c r="AE33" i="76" s="1"/>
  <c r="Z27" i="76"/>
  <c r="AE27" i="76" s="1"/>
  <c r="AD102" i="76"/>
  <c r="AI102" i="76" s="1"/>
  <c r="AA101" i="76"/>
  <c r="AF101" i="76" s="1"/>
  <c r="AA95" i="76"/>
  <c r="AF95" i="76" s="1"/>
  <c r="AD92" i="76"/>
  <c r="AI92" i="76" s="1"/>
  <c r="Z38" i="76"/>
  <c r="AE38" i="76" s="1"/>
  <c r="AA337" i="76"/>
  <c r="AF337" i="76" s="1"/>
  <c r="AD337" i="76"/>
  <c r="AI337" i="76" s="1"/>
  <c r="Z307" i="76"/>
  <c r="AE307" i="76" s="1"/>
  <c r="AC304" i="76"/>
  <c r="AH304" i="76" s="1"/>
  <c r="AD382" i="76"/>
  <c r="AA370" i="76"/>
  <c r="AF370" i="76" s="1"/>
  <c r="AC391" i="76"/>
  <c r="AH391" i="76" s="1"/>
  <c r="Z393" i="76"/>
  <c r="AE393" i="76" s="1"/>
  <c r="AD166" i="76"/>
  <c r="AI166" i="76" s="1"/>
  <c r="AA161" i="76"/>
  <c r="AF161" i="76" s="1"/>
  <c r="AD293" i="76"/>
  <c r="AI293" i="76" s="1"/>
  <c r="AA285" i="76"/>
  <c r="AF285" i="76" s="1"/>
  <c r="AE271" i="76"/>
  <c r="AA166" i="76"/>
  <c r="AF166" i="76" s="1"/>
  <c r="AD378" i="76"/>
  <c r="AI378" i="76" s="1"/>
  <c r="AA174" i="76"/>
  <c r="AA198" i="76"/>
  <c r="AF198" i="76" s="1"/>
  <c r="AC300" i="76"/>
  <c r="AH300" i="76" s="1"/>
  <c r="Z310" i="76"/>
  <c r="AE310" i="76" s="1"/>
  <c r="AC390" i="76"/>
  <c r="AH390" i="76" s="1"/>
  <c r="AA365" i="76"/>
  <c r="AF365" i="76" s="1"/>
  <c r="AD291" i="76"/>
  <c r="AI291" i="76" s="1"/>
  <c r="AD363" i="76"/>
  <c r="AI363" i="76" s="1"/>
  <c r="AA414" i="76"/>
  <c r="AF414" i="76" s="1"/>
  <c r="AA409" i="76"/>
  <c r="AF409" i="76" s="1"/>
  <c r="AD83" i="76"/>
  <c r="AI83" i="76" s="1"/>
  <c r="AC115" i="76"/>
  <c r="AH115" i="76" s="1"/>
  <c r="AA91" i="76"/>
  <c r="AF91" i="76" s="1"/>
  <c r="AA77" i="76"/>
  <c r="AF77" i="76" s="1"/>
  <c r="AD104" i="76"/>
  <c r="AI104" i="76" s="1"/>
  <c r="AA90" i="76"/>
  <c r="AF90" i="76" s="1"/>
  <c r="AD329" i="76"/>
  <c r="AI329" i="76" s="1"/>
  <c r="AD327" i="76"/>
  <c r="AI327" i="76" s="1"/>
  <c r="AC306" i="76"/>
  <c r="AH306" i="76" s="1"/>
  <c r="Z301" i="76"/>
  <c r="AE301" i="76" s="1"/>
  <c r="AD377" i="76"/>
  <c r="AI377" i="76" s="1"/>
  <c r="AD370" i="76"/>
  <c r="AI370" i="76" s="1"/>
  <c r="Z387" i="76"/>
  <c r="AE387" i="76" s="1"/>
  <c r="AC394" i="76"/>
  <c r="AH394" i="76" s="1"/>
  <c r="AA160" i="76"/>
  <c r="AF160" i="76" s="1"/>
  <c r="AA156" i="76"/>
  <c r="AF156" i="76" s="1"/>
  <c r="AD285" i="76"/>
  <c r="AI285" i="76" s="1"/>
  <c r="AA284" i="76"/>
  <c r="AF284" i="76" s="1"/>
  <c r="AH267" i="76"/>
  <c r="AD156" i="76"/>
  <c r="AI156" i="76" s="1"/>
  <c r="AD365" i="76"/>
  <c r="AI365" i="76" s="1"/>
  <c r="AD188" i="76"/>
  <c r="AI188" i="76" s="1"/>
  <c r="AA180" i="76"/>
  <c r="AF180" i="76" s="1"/>
  <c r="AA197" i="76"/>
  <c r="AF197" i="76" s="1"/>
  <c r="Z303" i="76"/>
  <c r="AC385" i="76"/>
  <c r="AH385" i="76" s="1"/>
  <c r="AD371" i="76"/>
  <c r="AI371" i="76" s="1"/>
  <c r="AD287" i="76"/>
  <c r="AI287" i="76" s="1"/>
  <c r="AA368" i="76"/>
  <c r="AF368" i="76" s="1"/>
  <c r="AA424" i="76"/>
  <c r="AA408" i="76"/>
  <c r="AF408" i="76" s="1"/>
  <c r="AD407" i="76"/>
  <c r="AI407" i="76" s="1"/>
  <c r="AD117" i="76"/>
  <c r="AI117" i="76" s="1"/>
  <c r="AD112" i="76"/>
  <c r="AI112" i="76" s="1"/>
  <c r="AA93" i="76"/>
  <c r="AF93" i="76" s="1"/>
  <c r="AA78" i="76"/>
  <c r="AF78" i="76" s="1"/>
  <c r="AA79" i="76"/>
  <c r="AF79" i="76" s="1"/>
  <c r="AA125" i="76"/>
  <c r="AF125" i="76" s="1"/>
  <c r="AD80" i="76"/>
  <c r="AI80" i="76" s="1"/>
  <c r="AD100" i="76"/>
  <c r="AI100" i="76" s="1"/>
  <c r="AD93" i="76"/>
  <c r="AI93" i="76" s="1"/>
  <c r="AD70" i="76"/>
  <c r="AI70" i="76" s="1"/>
  <c r="AA100" i="76"/>
  <c r="AF100" i="76" s="1"/>
  <c r="AA99" i="76"/>
  <c r="AF99" i="76" s="1"/>
  <c r="AA328" i="76"/>
  <c r="AF328" i="76" s="1"/>
  <c r="AD340" i="76"/>
  <c r="AC311" i="76"/>
  <c r="AH311" i="76" s="1"/>
  <c r="Z312" i="76"/>
  <c r="AE312" i="76" s="1"/>
  <c r="AD375" i="76"/>
  <c r="AI375" i="76" s="1"/>
  <c r="AD366" i="76"/>
  <c r="AI366" i="76" s="1"/>
  <c r="AC389" i="76"/>
  <c r="AH389" i="76" s="1"/>
  <c r="Z400" i="76"/>
  <c r="AE400" i="76" s="1"/>
  <c r="AD159" i="76"/>
  <c r="AI159" i="76" s="1"/>
  <c r="AA154" i="76"/>
  <c r="AF154" i="76" s="1"/>
  <c r="AA295" i="76"/>
  <c r="AF295" i="76" s="1"/>
  <c r="AD288" i="76"/>
  <c r="AI288" i="76" s="1"/>
  <c r="AH269" i="76"/>
  <c r="AA153" i="76"/>
  <c r="AF153" i="76" s="1"/>
  <c r="AD178" i="76"/>
  <c r="AI178" i="76" s="1"/>
  <c r="AA412" i="76"/>
  <c r="AF412" i="76" s="1"/>
  <c r="AA141" i="76"/>
  <c r="AF141" i="76" s="1"/>
  <c r="AD200" i="76"/>
  <c r="AI200" i="76" s="1"/>
  <c r="AC312" i="76"/>
  <c r="AH312" i="76" s="1"/>
  <c r="Z392" i="76"/>
  <c r="AE392" i="76" s="1"/>
  <c r="AD367" i="76"/>
  <c r="AI367" i="76" s="1"/>
  <c r="AA421" i="76"/>
  <c r="AF421" i="76" s="1"/>
  <c r="AD416" i="76"/>
  <c r="AI416" i="76" s="1"/>
  <c r="AA420" i="76"/>
  <c r="AF420" i="76" s="1"/>
  <c r="AD49" i="76"/>
  <c r="AI49" i="76" s="1"/>
  <c r="AD109" i="76"/>
  <c r="AD113" i="76"/>
  <c r="AI113" i="76" s="1"/>
  <c r="AD69" i="76"/>
  <c r="AI69" i="76" s="1"/>
  <c r="AD115" i="76"/>
  <c r="AI115" i="76" s="1"/>
  <c r="AA130" i="76"/>
  <c r="AD126" i="76"/>
  <c r="AI126" i="76" s="1"/>
  <c r="AA76" i="76"/>
  <c r="AF76" i="76" s="1"/>
  <c r="AD99" i="76"/>
  <c r="AI99" i="76" s="1"/>
  <c r="AD120" i="76"/>
  <c r="AI120" i="76" s="1"/>
  <c r="AD57" i="76"/>
  <c r="AI57" i="76" s="1"/>
  <c r="AA81" i="76"/>
  <c r="AF81" i="76" s="1"/>
  <c r="AD330" i="76"/>
  <c r="AI330" i="76" s="1"/>
  <c r="AD333" i="76"/>
  <c r="AI333" i="76" s="1"/>
  <c r="Z305" i="76"/>
  <c r="AE305" i="76" s="1"/>
  <c r="AA378" i="76"/>
  <c r="AA371" i="76"/>
  <c r="AF371" i="76" s="1"/>
  <c r="Z388" i="76"/>
  <c r="AE388" i="76" s="1"/>
  <c r="AA159" i="76"/>
  <c r="AF159" i="76" s="1"/>
  <c r="AD155" i="76"/>
  <c r="AI155" i="76" s="1"/>
  <c r="AD295" i="76"/>
  <c r="AI295" i="76" s="1"/>
  <c r="AA293" i="76"/>
  <c r="AF293" i="76" s="1"/>
  <c r="AD292" i="76"/>
  <c r="AI292" i="76" s="1"/>
  <c r="AA158" i="76"/>
  <c r="AF158" i="76" s="1"/>
  <c r="AD177" i="76"/>
  <c r="AI177" i="76" s="1"/>
  <c r="AA148" i="76"/>
  <c r="AF148" i="76" s="1"/>
  <c r="AA207" i="76"/>
  <c r="AF207" i="76" s="1"/>
  <c r="AD214" i="76"/>
  <c r="Z316" i="76"/>
  <c r="AE316" i="76" s="1"/>
  <c r="AC396" i="76"/>
  <c r="AH396" i="76" s="1"/>
  <c r="AA366" i="76"/>
  <c r="AF366" i="76" s="1"/>
  <c r="AD289" i="76"/>
  <c r="AI289" i="76" s="1"/>
  <c r="AA418" i="76"/>
  <c r="AF418" i="76" s="1"/>
  <c r="AD414" i="76"/>
  <c r="AI414" i="76" s="1"/>
  <c r="AD419" i="76"/>
  <c r="AI419" i="76" s="1"/>
  <c r="AA415" i="76"/>
  <c r="AF415" i="76" s="1"/>
  <c r="AA80" i="76"/>
  <c r="AF80" i="76" s="1"/>
  <c r="AD51" i="76"/>
  <c r="AI51" i="76" s="1"/>
  <c r="AA75" i="76"/>
  <c r="AF75" i="76" s="1"/>
  <c r="AA114" i="76"/>
  <c r="AF114" i="76" s="1"/>
  <c r="AD130" i="76"/>
  <c r="AA126" i="76"/>
  <c r="AF126" i="76" s="1"/>
  <c r="AA109" i="76"/>
  <c r="AA58" i="76"/>
  <c r="AF58" i="76" s="1"/>
  <c r="AD127" i="76"/>
  <c r="AI127" i="76" s="1"/>
  <c r="AD118" i="76"/>
  <c r="AI118" i="76" s="1"/>
  <c r="AD73" i="76"/>
  <c r="AI73" i="76" s="1"/>
  <c r="AD321" i="76"/>
  <c r="AD336" i="76"/>
  <c r="AI336" i="76" s="1"/>
  <c r="Z309" i="76"/>
  <c r="AE309" i="76" s="1"/>
  <c r="AA376" i="76"/>
  <c r="AF376" i="76" s="1"/>
  <c r="AD372" i="76"/>
  <c r="AI372" i="76" s="1"/>
  <c r="AC399" i="76"/>
  <c r="AH399" i="76" s="1"/>
  <c r="AA167" i="76"/>
  <c r="AF167" i="76" s="1"/>
  <c r="AD158" i="76"/>
  <c r="AI158" i="76" s="1"/>
  <c r="AA286" i="76"/>
  <c r="AF286" i="76" s="1"/>
  <c r="AD283" i="76"/>
  <c r="AI283" i="76" s="1"/>
  <c r="AH265" i="76"/>
  <c r="AD153" i="76"/>
  <c r="AI153" i="76" s="1"/>
  <c r="AA187" i="76"/>
  <c r="AF187" i="76" s="1"/>
  <c r="AD195" i="76"/>
  <c r="AI195" i="76" s="1"/>
  <c r="AA179" i="76"/>
  <c r="AF179" i="76" s="1"/>
  <c r="AC315" i="76"/>
  <c r="AH315" i="76" s="1"/>
  <c r="AD369" i="76"/>
  <c r="AI369" i="76" s="1"/>
  <c r="Z394" i="76"/>
  <c r="AE394" i="76" s="1"/>
  <c r="AA211" i="76"/>
  <c r="AF211" i="76" s="1"/>
  <c r="AD417" i="76"/>
  <c r="AA406" i="76"/>
  <c r="AF406" i="76" s="1"/>
  <c r="AA175" i="76"/>
  <c r="AF175" i="76" s="1"/>
  <c r="AD424" i="76"/>
  <c r="AD410" i="76"/>
  <c r="AI410" i="76" s="1"/>
  <c r="Z8" i="76"/>
  <c r="AE8" i="76" s="1"/>
  <c r="E31" i="40"/>
  <c r="P10" i="3" s="1"/>
  <c r="E35" i="40"/>
  <c r="P14" i="3" s="1"/>
  <c r="E37" i="40"/>
  <c r="P16" i="3" s="1"/>
  <c r="Z30" i="76"/>
  <c r="AE30" i="76" s="1"/>
  <c r="AA143" i="76"/>
  <c r="AF143" i="76" s="1"/>
  <c r="AA183" i="76"/>
  <c r="AF183" i="76" s="1"/>
  <c r="AD197" i="76"/>
  <c r="AI197" i="76" s="1"/>
  <c r="AA248" i="76"/>
  <c r="AF248" i="76" s="1"/>
  <c r="AD79" i="76"/>
  <c r="AI79" i="76" s="1"/>
  <c r="AA122" i="76"/>
  <c r="AF122" i="76" s="1"/>
  <c r="AD74" i="76"/>
  <c r="AI74" i="76" s="1"/>
  <c r="AA124" i="76"/>
  <c r="AF124" i="76" s="1"/>
  <c r="AD85" i="76"/>
  <c r="AI85" i="76" s="1"/>
  <c r="AA84" i="76"/>
  <c r="AF84" i="76" s="1"/>
  <c r="AA123" i="76"/>
  <c r="AF123" i="76" s="1"/>
  <c r="AD116" i="76"/>
  <c r="AI116" i="76" s="1"/>
  <c r="AA325" i="76"/>
  <c r="AF325" i="76" s="1"/>
  <c r="AA329" i="76"/>
  <c r="AF329" i="76" s="1"/>
  <c r="Z304" i="76"/>
  <c r="AE304" i="76" s="1"/>
  <c r="AA379" i="76"/>
  <c r="AF379" i="76" s="1"/>
  <c r="AD373" i="76"/>
  <c r="AI373" i="76" s="1"/>
  <c r="AC386" i="76"/>
  <c r="AH386" i="76" s="1"/>
  <c r="AD169" i="76"/>
  <c r="AI169" i="76" s="1"/>
  <c r="AA163" i="76"/>
  <c r="AF163" i="76" s="1"/>
  <c r="AD160" i="76"/>
  <c r="AI160" i="76" s="1"/>
  <c r="AD298" i="76"/>
  <c r="AD284" i="76"/>
  <c r="AI284" i="76" s="1"/>
  <c r="AA324" i="76"/>
  <c r="AF324" i="76" s="1"/>
  <c r="AA188" i="76"/>
  <c r="AF188" i="76" s="1"/>
  <c r="AD323" i="76"/>
  <c r="AI323" i="76" s="1"/>
  <c r="AA208" i="76"/>
  <c r="AF208" i="76" s="1"/>
  <c r="AA189" i="76"/>
  <c r="AF189" i="76" s="1"/>
  <c r="Z313" i="76"/>
  <c r="AE313" i="76" s="1"/>
  <c r="AC388" i="76"/>
  <c r="AH388" i="76" s="1"/>
  <c r="AA416" i="76"/>
  <c r="AF416" i="76" s="1"/>
  <c r="AD412" i="76"/>
  <c r="AI412" i="76" s="1"/>
  <c r="AA413" i="76"/>
  <c r="AF413" i="76" s="1"/>
  <c r="C32" i="40"/>
  <c r="O11" i="3" s="1"/>
  <c r="AC75" i="76"/>
  <c r="AH75" i="76" s="1"/>
  <c r="AA185" i="76"/>
  <c r="AF185" i="76" s="1"/>
  <c r="AD125" i="76"/>
  <c r="AI125" i="76" s="1"/>
  <c r="AD72" i="76"/>
  <c r="AI72" i="76" s="1"/>
  <c r="AA106" i="76"/>
  <c r="AF106" i="76" s="1"/>
  <c r="AD78" i="76"/>
  <c r="AI78" i="76" s="1"/>
  <c r="AA127" i="76"/>
  <c r="AF127" i="76" s="1"/>
  <c r="AA323" i="76"/>
  <c r="AA322" i="76"/>
  <c r="AF322" i="76" s="1"/>
  <c r="AD324" i="76"/>
  <c r="AI324" i="76" s="1"/>
  <c r="Z300" i="76"/>
  <c r="AE300" i="76" s="1"/>
  <c r="AA373" i="76"/>
  <c r="AF373" i="76" s="1"/>
  <c r="AA377" i="76"/>
  <c r="AF377" i="76" s="1"/>
  <c r="Z398" i="76"/>
  <c r="AE398" i="76" s="1"/>
  <c r="AC384" i="76"/>
  <c r="AH384" i="76" s="1"/>
  <c r="AD172" i="76"/>
  <c r="AA168" i="76"/>
  <c r="AF168" i="76" s="1"/>
  <c r="AD161" i="76"/>
  <c r="AI161" i="76" s="1"/>
  <c r="AD282" i="76"/>
  <c r="AI282" i="76" s="1"/>
  <c r="AA288" i="76"/>
  <c r="AF288" i="76" s="1"/>
  <c r="AH263" i="76"/>
  <c r="AA326" i="76"/>
  <c r="AF326" i="76" s="1"/>
  <c r="AA172" i="76"/>
  <c r="AA196" i="76"/>
  <c r="AF196" i="76" s="1"/>
  <c r="AD193" i="76"/>
  <c r="AC309" i="76"/>
  <c r="AH309" i="76" s="1"/>
  <c r="Z385" i="76"/>
  <c r="AE385" i="76" s="1"/>
  <c r="AA410" i="76"/>
  <c r="AF410" i="76" s="1"/>
  <c r="AA417" i="76"/>
  <c r="AF417" i="76" s="1"/>
  <c r="AD421" i="76"/>
  <c r="AI421" i="76" s="1"/>
  <c r="AA419" i="76"/>
  <c r="AF419" i="76" s="1"/>
  <c r="AD189" i="76"/>
  <c r="AI189" i="76" s="1"/>
  <c r="AD95" i="76"/>
  <c r="AI95" i="76" s="1"/>
  <c r="AC28" i="76"/>
  <c r="AH28" i="76" s="1"/>
  <c r="AA83" i="76"/>
  <c r="AF83" i="76" s="1"/>
  <c r="AC121" i="76"/>
  <c r="AH121" i="76" s="1"/>
  <c r="AC120" i="76"/>
  <c r="AH120" i="76" s="1"/>
  <c r="AD124" i="76"/>
  <c r="AI124" i="76" s="1"/>
  <c r="AD103" i="76"/>
  <c r="AI103" i="76" s="1"/>
  <c r="Z123" i="76"/>
  <c r="AE123" i="76" s="1"/>
  <c r="AA103" i="76"/>
  <c r="AF103" i="76" s="1"/>
  <c r="AD98" i="76"/>
  <c r="AI98" i="76" s="1"/>
  <c r="AA92" i="76"/>
  <c r="AF92" i="76" s="1"/>
  <c r="Z118" i="76"/>
  <c r="AE118" i="76" s="1"/>
  <c r="AA113" i="76"/>
  <c r="AF113" i="76" s="1"/>
  <c r="AA115" i="76"/>
  <c r="AF115" i="76" s="1"/>
  <c r="AA331" i="76"/>
  <c r="AF331" i="76" s="1"/>
  <c r="AD335" i="76"/>
  <c r="AI335" i="76" s="1"/>
  <c r="AA332" i="76"/>
  <c r="AF332" i="76" s="1"/>
  <c r="AC308" i="76"/>
  <c r="AH308" i="76" s="1"/>
  <c r="AD379" i="76"/>
  <c r="AI379" i="76" s="1"/>
  <c r="AA382" i="76"/>
  <c r="Z389" i="76"/>
  <c r="AE389" i="76" s="1"/>
  <c r="Z399" i="76"/>
  <c r="AE399" i="76" s="1"/>
  <c r="AA169" i="76"/>
  <c r="AF169" i="76" s="1"/>
  <c r="AA162" i="76"/>
  <c r="AF162" i="76" s="1"/>
  <c r="AD163" i="76"/>
  <c r="AI163" i="76" s="1"/>
  <c r="AA290" i="76"/>
  <c r="AF290" i="76" s="1"/>
  <c r="AA291" i="76"/>
  <c r="AF291" i="76" s="1"/>
  <c r="AH259" i="76"/>
  <c r="AD331" i="76"/>
  <c r="AI331" i="76" s="1"/>
  <c r="AD199" i="76"/>
  <c r="AI199" i="76" s="1"/>
  <c r="AD187" i="76"/>
  <c r="Z319" i="76"/>
  <c r="Z384" i="76"/>
  <c r="AE384" i="76" s="1"/>
  <c r="AD418" i="76"/>
  <c r="AI418" i="76" s="1"/>
  <c r="AA411" i="76"/>
  <c r="AF411" i="76" s="1"/>
  <c r="AD420" i="76"/>
  <c r="AI420" i="76" s="1"/>
  <c r="AD413" i="76"/>
  <c r="AI413" i="76" s="1"/>
  <c r="AD196" i="76"/>
  <c r="AI196" i="76" s="1"/>
  <c r="AA96" i="76"/>
  <c r="AF96" i="76" s="1"/>
  <c r="AA94" i="76"/>
  <c r="AF94" i="76" s="1"/>
  <c r="AD101" i="76"/>
  <c r="AI101" i="76" s="1"/>
  <c r="AA121" i="76"/>
  <c r="AF121" i="76" s="1"/>
  <c r="AD94" i="76"/>
  <c r="AI94" i="76" s="1"/>
  <c r="AA119" i="76"/>
  <c r="AF119" i="76" s="1"/>
  <c r="AD122" i="76"/>
  <c r="AI122" i="76" s="1"/>
  <c r="AA336" i="76"/>
  <c r="AF336" i="76" s="1"/>
  <c r="AD325" i="76"/>
  <c r="AI325" i="76" s="1"/>
  <c r="AA330" i="76"/>
  <c r="AF330" i="76" s="1"/>
  <c r="Z311" i="76"/>
  <c r="AE311" i="76" s="1"/>
  <c r="AA372" i="76"/>
  <c r="AF372" i="76" s="1"/>
  <c r="Z386" i="76"/>
  <c r="AE386" i="76" s="1"/>
  <c r="AC395" i="76"/>
  <c r="AH395" i="76" s="1"/>
  <c r="AD162" i="76"/>
  <c r="AI162" i="76" s="1"/>
  <c r="AA279" i="76"/>
  <c r="AF279" i="76" s="1"/>
  <c r="Z403" i="76"/>
  <c r="AD408" i="76"/>
  <c r="AI408" i="76" s="1"/>
  <c r="AD411" i="76"/>
  <c r="Z116" i="76"/>
  <c r="AE116" i="76" s="1"/>
  <c r="Z115" i="76"/>
  <c r="AE115" i="76" s="1"/>
  <c r="Z74" i="76"/>
  <c r="AE74" i="76" s="1"/>
  <c r="AA50" i="76"/>
  <c r="AF50" i="76" s="1"/>
  <c r="Z372" i="76"/>
  <c r="AE372" i="76" s="1"/>
  <c r="AC197" i="76"/>
  <c r="AH197" i="76" s="1"/>
  <c r="Z208" i="76"/>
  <c r="AE208" i="76" s="1"/>
  <c r="Z211" i="76"/>
  <c r="AE211" i="76" s="1"/>
  <c r="Z182" i="76"/>
  <c r="AE182" i="76" s="1"/>
  <c r="Z175" i="76"/>
  <c r="AE175" i="76" s="1"/>
  <c r="AC410" i="76"/>
  <c r="AH410" i="76" s="1"/>
  <c r="AA394" i="76"/>
  <c r="AF394" i="76" s="1"/>
  <c r="AD400" i="76"/>
  <c r="AI400" i="76" s="1"/>
  <c r="Z219" i="76"/>
  <c r="AE219" i="76" s="1"/>
  <c r="AC220" i="76"/>
  <c r="AH220" i="76" s="1"/>
  <c r="AA342" i="76"/>
  <c r="AF342" i="76" s="1"/>
  <c r="AA343" i="76"/>
  <c r="AF343" i="76" s="1"/>
  <c r="AD315" i="76"/>
  <c r="AI315" i="76" s="1"/>
  <c r="AC157" i="76"/>
  <c r="AH157" i="76" s="1"/>
  <c r="Z157" i="76"/>
  <c r="AE157" i="76" s="1"/>
  <c r="AC162" i="76"/>
  <c r="AH162" i="76" s="1"/>
  <c r="AA274" i="76"/>
  <c r="AF274" i="76" s="1"/>
  <c r="AA270" i="76"/>
  <c r="AF270" i="76" s="1"/>
  <c r="Z256" i="76"/>
  <c r="AC217" i="76"/>
  <c r="AA305" i="76"/>
  <c r="AF305" i="76" s="1"/>
  <c r="AC331" i="76"/>
  <c r="AH331" i="76" s="1"/>
  <c r="AA398" i="76"/>
  <c r="AF398" i="76" s="1"/>
  <c r="AC376" i="76"/>
  <c r="AH376" i="76" s="1"/>
  <c r="AC372" i="76"/>
  <c r="AH372" i="76" s="1"/>
  <c r="AD361" i="76"/>
  <c r="Z330" i="76"/>
  <c r="AE330" i="76" s="1"/>
  <c r="Z333" i="76"/>
  <c r="AE333" i="76" s="1"/>
  <c r="AC336" i="76"/>
  <c r="AH336" i="76" s="1"/>
  <c r="AC411" i="76"/>
  <c r="AH411" i="76" s="1"/>
  <c r="Z424" i="76"/>
  <c r="AA356" i="76"/>
  <c r="AF356" i="76" s="1"/>
  <c r="Z103" i="76"/>
  <c r="AE103" i="76" s="1"/>
  <c r="AD277" i="76"/>
  <c r="AC281" i="76"/>
  <c r="AH281" i="76" s="1"/>
  <c r="Z32" i="76"/>
  <c r="AE32" i="76" s="1"/>
  <c r="AC93" i="76"/>
  <c r="AH93" i="76" s="1"/>
  <c r="AD59" i="76"/>
  <c r="AI59" i="76" s="1"/>
  <c r="AA64" i="76"/>
  <c r="AF64" i="76" s="1"/>
  <c r="Z127" i="76"/>
  <c r="AE127" i="76" s="1"/>
  <c r="AC95" i="76"/>
  <c r="AH95" i="76" s="1"/>
  <c r="Z121" i="76"/>
  <c r="AE121" i="76" s="1"/>
  <c r="AC31" i="76"/>
  <c r="AH31" i="76" s="1"/>
  <c r="AC33" i="76"/>
  <c r="AH33" i="76" s="1"/>
  <c r="Z76" i="76"/>
  <c r="AE76" i="76" s="1"/>
  <c r="AA60" i="76"/>
  <c r="AF60" i="76" s="1"/>
  <c r="AC85" i="76"/>
  <c r="AH85" i="76" s="1"/>
  <c r="AC119" i="76"/>
  <c r="AH119" i="76" s="1"/>
  <c r="AC76" i="76"/>
  <c r="AH76" i="76" s="1"/>
  <c r="AC104" i="76"/>
  <c r="AH104" i="76" s="1"/>
  <c r="Z117" i="76"/>
  <c r="AE117" i="76" s="1"/>
  <c r="AA48" i="76"/>
  <c r="AF48" i="76" s="1"/>
  <c r="AC368" i="76"/>
  <c r="AH368" i="76" s="1"/>
  <c r="AC210" i="76"/>
  <c r="AH210" i="76" s="1"/>
  <c r="Z203" i="76"/>
  <c r="AE203" i="76" s="1"/>
  <c r="AC187" i="76"/>
  <c r="AH187" i="76" s="1"/>
  <c r="Z184" i="76"/>
  <c r="AE184" i="76" s="1"/>
  <c r="Z193" i="76"/>
  <c r="AC412" i="76"/>
  <c r="AH412" i="76" s="1"/>
  <c r="AD394" i="76"/>
  <c r="AI394" i="76" s="1"/>
  <c r="AA385" i="76"/>
  <c r="AF385" i="76" s="1"/>
  <c r="AC219" i="76"/>
  <c r="AH219" i="76" s="1"/>
  <c r="AC235" i="76"/>
  <c r="AA353" i="76"/>
  <c r="AF353" i="76" s="1"/>
  <c r="AD343" i="76"/>
  <c r="AI343" i="76" s="1"/>
  <c r="AD308" i="76"/>
  <c r="AI308" i="76" s="1"/>
  <c r="AC332" i="76"/>
  <c r="AH332" i="76" s="1"/>
  <c r="AC164" i="76"/>
  <c r="AH164" i="76" s="1"/>
  <c r="Z158" i="76"/>
  <c r="AE158" i="76" s="1"/>
  <c r="AC144" i="76"/>
  <c r="AH144" i="76" s="1"/>
  <c r="AA268" i="76"/>
  <c r="AF268" i="76" s="1"/>
  <c r="AD271" i="76"/>
  <c r="AI271" i="76" s="1"/>
  <c r="AC241" i="76"/>
  <c r="AH241" i="76" s="1"/>
  <c r="Z218" i="76"/>
  <c r="AE218" i="76" s="1"/>
  <c r="AD174" i="76"/>
  <c r="AI174" i="76" s="1"/>
  <c r="AA313" i="76"/>
  <c r="AF313" i="76" s="1"/>
  <c r="Z323" i="76"/>
  <c r="AE323" i="76" s="1"/>
  <c r="AD385" i="76"/>
  <c r="AI385" i="76" s="1"/>
  <c r="Z365" i="76"/>
  <c r="AE365" i="76" s="1"/>
  <c r="AC375" i="76"/>
  <c r="AH375" i="76" s="1"/>
  <c r="AA347" i="76"/>
  <c r="AF347" i="76" s="1"/>
  <c r="AC330" i="76"/>
  <c r="AH330" i="76" s="1"/>
  <c r="AC340" i="76"/>
  <c r="AC337" i="76"/>
  <c r="AH337" i="76" s="1"/>
  <c r="Z405" i="76"/>
  <c r="AE405" i="76" s="1"/>
  <c r="Z412" i="76"/>
  <c r="AE412" i="76" s="1"/>
  <c r="AD238" i="76"/>
  <c r="AI238" i="76" s="1"/>
  <c r="AA344" i="76"/>
  <c r="AF344" i="76" s="1"/>
  <c r="AA54" i="76"/>
  <c r="AF54" i="76" s="1"/>
  <c r="AC130" i="76"/>
  <c r="Z39" i="76"/>
  <c r="AE39" i="76" s="1"/>
  <c r="AD58" i="76"/>
  <c r="AI58" i="76" s="1"/>
  <c r="AC124" i="76"/>
  <c r="AH124" i="76" s="1"/>
  <c r="Z122" i="76"/>
  <c r="AE122" i="76" s="1"/>
  <c r="Z42" i="76"/>
  <c r="AE42" i="76" s="1"/>
  <c r="Z78" i="76"/>
  <c r="AE78" i="76" s="1"/>
  <c r="AC94" i="76"/>
  <c r="AH94" i="76" s="1"/>
  <c r="AC32" i="76"/>
  <c r="AH32" i="76" s="1"/>
  <c r="AC46" i="76"/>
  <c r="Z93" i="76"/>
  <c r="AE93" i="76" s="1"/>
  <c r="AC40" i="76"/>
  <c r="AH40" i="76" s="1"/>
  <c r="AA53" i="76"/>
  <c r="AF53" i="76" s="1"/>
  <c r="Z120" i="76"/>
  <c r="AE120" i="76" s="1"/>
  <c r="AC102" i="76"/>
  <c r="AH102" i="76" s="1"/>
  <c r="AA67" i="76"/>
  <c r="AC370" i="76"/>
  <c r="AH370" i="76" s="1"/>
  <c r="Z210" i="76"/>
  <c r="AE210" i="76" s="1"/>
  <c r="AC198" i="76"/>
  <c r="AH198" i="76" s="1"/>
  <c r="AC188" i="76"/>
  <c r="AH188" i="76" s="1"/>
  <c r="Z174" i="76"/>
  <c r="AE174" i="76" s="1"/>
  <c r="AC179" i="76"/>
  <c r="AH179" i="76" s="1"/>
  <c r="AC416" i="76"/>
  <c r="AH416" i="76" s="1"/>
  <c r="AD396" i="76"/>
  <c r="AI396" i="76" s="1"/>
  <c r="AA403" i="76"/>
  <c r="AC229" i="76"/>
  <c r="AH229" i="76" s="1"/>
  <c r="AC218" i="76"/>
  <c r="AH218" i="76" s="1"/>
  <c r="AA349" i="76"/>
  <c r="AF349" i="76" s="1"/>
  <c r="AD344" i="76"/>
  <c r="AI344" i="76" s="1"/>
  <c r="AA300" i="76"/>
  <c r="AF300" i="76" s="1"/>
  <c r="AC155" i="76"/>
  <c r="AH155" i="76" s="1"/>
  <c r="AC165" i="76"/>
  <c r="AH165" i="76" s="1"/>
  <c r="AC138" i="76"/>
  <c r="AH138" i="76" s="1"/>
  <c r="AA264" i="76"/>
  <c r="AF264" i="76" s="1"/>
  <c r="AD260" i="76"/>
  <c r="AI260" i="76" s="1"/>
  <c r="AC248" i="76"/>
  <c r="AH248" i="76" s="1"/>
  <c r="Z226" i="76"/>
  <c r="AE226" i="76" s="1"/>
  <c r="AD184" i="76"/>
  <c r="AI184" i="76" s="1"/>
  <c r="AA301" i="76"/>
  <c r="AF301" i="76" s="1"/>
  <c r="AC424" i="76"/>
  <c r="AD395" i="76"/>
  <c r="AI395" i="76" s="1"/>
  <c r="Z378" i="76"/>
  <c r="AE378" i="76" s="1"/>
  <c r="AC367" i="76"/>
  <c r="AH367" i="76" s="1"/>
  <c r="AD350" i="76"/>
  <c r="AI350" i="76" s="1"/>
  <c r="Z332" i="76"/>
  <c r="AE332" i="76" s="1"/>
  <c r="Z331" i="76"/>
  <c r="AE331" i="76" s="1"/>
  <c r="Z81" i="76"/>
  <c r="AE81" i="76" s="1"/>
  <c r="AC414" i="76"/>
  <c r="AH414" i="76" s="1"/>
  <c r="AA245" i="76"/>
  <c r="AF245" i="76" s="1"/>
  <c r="AD356" i="76"/>
  <c r="AI356" i="76" s="1"/>
  <c r="AD304" i="76"/>
  <c r="AI304" i="76" s="1"/>
  <c r="AD250" i="76"/>
  <c r="AI250" i="76" s="1"/>
  <c r="AA232" i="76"/>
  <c r="AF232" i="76" s="1"/>
  <c r="V257" i="76"/>
  <c r="AD244" i="76"/>
  <c r="AI244" i="76" s="1"/>
  <c r="X47" i="76"/>
  <c r="AC29" i="76"/>
  <c r="AH29" i="76" s="1"/>
  <c r="AC125" i="76"/>
  <c r="AH125" i="76" s="1"/>
  <c r="Z84" i="76"/>
  <c r="AE84" i="76" s="1"/>
  <c r="AC70" i="76"/>
  <c r="AH70" i="76" s="1"/>
  <c r="AC99" i="76"/>
  <c r="AH99" i="76" s="1"/>
  <c r="AD67" i="76"/>
  <c r="AC91" i="76"/>
  <c r="AH91" i="76" s="1"/>
  <c r="Z126" i="76"/>
  <c r="AE126" i="76" s="1"/>
  <c r="Z31" i="76"/>
  <c r="AE31" i="76" s="1"/>
  <c r="AA56" i="76"/>
  <c r="AF56" i="76" s="1"/>
  <c r="AA63" i="76"/>
  <c r="AF63" i="76" s="1"/>
  <c r="AD64" i="76"/>
  <c r="AI64" i="76" s="1"/>
  <c r="Z130" i="76"/>
  <c r="Z374" i="76"/>
  <c r="AE374" i="76" s="1"/>
  <c r="Z197" i="76"/>
  <c r="AE197" i="76" s="1"/>
  <c r="AC201" i="76"/>
  <c r="AH201" i="76" s="1"/>
  <c r="AC193" i="76"/>
  <c r="Z187" i="76"/>
  <c r="AE187" i="76" s="1"/>
  <c r="Z181" i="76"/>
  <c r="AE181" i="76" s="1"/>
  <c r="AC417" i="76"/>
  <c r="AH417" i="76" s="1"/>
  <c r="AA393" i="76"/>
  <c r="AF393" i="76" s="1"/>
  <c r="AA387" i="76"/>
  <c r="AF387" i="76" s="1"/>
  <c r="Z217" i="76"/>
  <c r="AE217" i="76" s="1"/>
  <c r="AC223" i="76"/>
  <c r="AH223" i="76" s="1"/>
  <c r="AD342" i="76"/>
  <c r="AI342" i="76" s="1"/>
  <c r="AD348" i="76"/>
  <c r="AI348" i="76" s="1"/>
  <c r="AA312" i="76"/>
  <c r="AF312" i="76" s="1"/>
  <c r="Z153" i="76"/>
  <c r="AE153" i="76" s="1"/>
  <c r="Z156" i="76"/>
  <c r="AE156" i="76" s="1"/>
  <c r="AC134" i="76"/>
  <c r="AH134" i="76" s="1"/>
  <c r="AD270" i="76"/>
  <c r="AI270" i="76" s="1"/>
  <c r="Z246" i="76"/>
  <c r="AE246" i="76" s="1"/>
  <c r="AC243" i="76"/>
  <c r="AH243" i="76" s="1"/>
  <c r="AC232" i="76"/>
  <c r="AH232" i="76" s="1"/>
  <c r="AD313" i="76"/>
  <c r="AI313" i="76" s="1"/>
  <c r="Z415" i="76"/>
  <c r="AE415" i="76" s="1"/>
  <c r="AD392" i="76"/>
  <c r="AI392" i="76" s="1"/>
  <c r="Z379" i="76"/>
  <c r="AE379" i="76" s="1"/>
  <c r="Z364" i="76"/>
  <c r="AE364" i="76" s="1"/>
  <c r="AD354" i="76"/>
  <c r="AI354" i="76" s="1"/>
  <c r="AC321" i="76"/>
  <c r="AH321" i="76" s="1"/>
  <c r="Z329" i="76"/>
  <c r="AE329" i="76" s="1"/>
  <c r="AC405" i="76"/>
  <c r="AH405" i="76" s="1"/>
  <c r="AD302" i="76"/>
  <c r="AI302" i="76" s="1"/>
  <c r="AD319" i="76"/>
  <c r="AA350" i="76"/>
  <c r="AF350" i="76" s="1"/>
  <c r="AC127" i="76"/>
  <c r="AH127" i="76" s="1"/>
  <c r="AA62" i="76"/>
  <c r="AF62" i="76" s="1"/>
  <c r="Z99" i="76"/>
  <c r="AE99" i="76" s="1"/>
  <c r="Z124" i="76"/>
  <c r="AE124" i="76" s="1"/>
  <c r="AC92" i="76"/>
  <c r="AH92" i="76" s="1"/>
  <c r="AA59" i="76"/>
  <c r="AF59" i="76" s="1"/>
  <c r="AC118" i="76"/>
  <c r="AH118" i="76" s="1"/>
  <c r="AC39" i="76"/>
  <c r="AH39" i="76" s="1"/>
  <c r="Z113" i="76"/>
  <c r="AE113" i="76" s="1"/>
  <c r="AC90" i="76"/>
  <c r="AH90" i="76" s="1"/>
  <c r="Z7" i="76"/>
  <c r="AE7" i="76" s="1"/>
  <c r="AC205" i="76"/>
  <c r="AH205" i="76" s="1"/>
  <c r="Z207" i="76"/>
  <c r="AE207" i="76" s="1"/>
  <c r="Z185" i="76"/>
  <c r="AE185" i="76" s="1"/>
  <c r="AC181" i="76"/>
  <c r="AH181" i="76" s="1"/>
  <c r="AC190" i="76"/>
  <c r="AH190" i="76" s="1"/>
  <c r="AC415" i="76"/>
  <c r="AH415" i="76" s="1"/>
  <c r="AD386" i="76"/>
  <c r="AI386" i="76" s="1"/>
  <c r="AD310" i="76"/>
  <c r="AI310" i="76" s="1"/>
  <c r="Z222" i="76"/>
  <c r="AE222" i="76" s="1"/>
  <c r="Z220" i="76"/>
  <c r="AE220" i="76" s="1"/>
  <c r="AA361" i="76"/>
  <c r="AA358" i="76"/>
  <c r="AF358" i="76" s="1"/>
  <c r="AA302" i="76"/>
  <c r="AF302" i="76" s="1"/>
  <c r="AC154" i="76"/>
  <c r="AH154" i="76" s="1"/>
  <c r="AC167" i="76"/>
  <c r="AH167" i="76" s="1"/>
  <c r="Z141" i="76"/>
  <c r="AE141" i="76" s="1"/>
  <c r="AD259" i="76"/>
  <c r="AI259" i="76" s="1"/>
  <c r="AC251" i="76"/>
  <c r="AH251" i="76" s="1"/>
  <c r="Z239" i="76"/>
  <c r="AE239" i="76" s="1"/>
  <c r="AC231" i="76"/>
  <c r="AH231" i="76" s="1"/>
  <c r="AI187" i="76"/>
  <c r="AD305" i="76"/>
  <c r="AI305" i="76" s="1"/>
  <c r="Z411" i="76"/>
  <c r="AE411" i="76" s="1"/>
  <c r="AA396" i="76"/>
  <c r="AF396" i="76" s="1"/>
  <c r="Z376" i="76"/>
  <c r="AE376" i="76" s="1"/>
  <c r="Z382" i="76"/>
  <c r="AA345" i="76"/>
  <c r="AF345" i="76" s="1"/>
  <c r="Z322" i="76"/>
  <c r="AE322" i="76" s="1"/>
  <c r="AC322" i="76"/>
  <c r="AH322" i="76" s="1"/>
  <c r="Z413" i="76"/>
  <c r="AE413" i="76" s="1"/>
  <c r="AD345" i="76"/>
  <c r="AI345" i="76" s="1"/>
  <c r="Z167" i="76"/>
  <c r="AE167" i="76" s="1"/>
  <c r="AC79" i="76"/>
  <c r="AH79" i="76" s="1"/>
  <c r="AC103" i="76"/>
  <c r="AH103" i="76" s="1"/>
  <c r="Z97" i="76"/>
  <c r="AE97" i="76" s="1"/>
  <c r="Z95" i="76"/>
  <c r="AE95" i="76" s="1"/>
  <c r="AA57" i="76"/>
  <c r="AF57" i="76" s="1"/>
  <c r="AC71" i="76"/>
  <c r="AH71" i="76" s="1"/>
  <c r="Z119" i="76"/>
  <c r="AE119" i="76" s="1"/>
  <c r="Z36" i="76"/>
  <c r="AE36" i="76" s="1"/>
  <c r="AC112" i="76"/>
  <c r="AH112" i="76" s="1"/>
  <c r="AC123" i="76"/>
  <c r="AH123" i="76" s="1"/>
  <c r="AC106" i="76"/>
  <c r="AH106" i="76" s="1"/>
  <c r="AC117" i="76"/>
  <c r="AH117" i="76" s="1"/>
  <c r="AC72" i="76"/>
  <c r="AH72" i="76" s="1"/>
  <c r="Z114" i="76"/>
  <c r="AE114" i="76" s="1"/>
  <c r="Z40" i="76"/>
  <c r="AE40" i="76" s="1"/>
  <c r="Z112" i="76"/>
  <c r="AE112" i="76" s="1"/>
  <c r="AC122" i="76"/>
  <c r="AH122" i="76" s="1"/>
  <c r="Z104" i="76"/>
  <c r="AE104" i="76" s="1"/>
  <c r="Z109" i="76"/>
  <c r="Z199" i="76"/>
  <c r="AE199" i="76" s="1"/>
  <c r="Z201" i="76"/>
  <c r="AE201" i="76" s="1"/>
  <c r="Z188" i="76"/>
  <c r="AE188" i="76" s="1"/>
  <c r="Z179" i="76"/>
  <c r="AE179" i="76" s="1"/>
  <c r="Z190" i="76"/>
  <c r="AE190" i="76" s="1"/>
  <c r="AC406" i="76"/>
  <c r="AH406" i="76" s="1"/>
  <c r="AA392" i="76"/>
  <c r="AF392" i="76" s="1"/>
  <c r="Z221" i="76"/>
  <c r="AE221" i="76" s="1"/>
  <c r="AC227" i="76"/>
  <c r="AH227" i="76" s="1"/>
  <c r="AD352" i="76"/>
  <c r="AI352" i="76" s="1"/>
  <c r="AA303" i="76"/>
  <c r="AF303" i="76" s="1"/>
  <c r="AD307" i="76"/>
  <c r="AI307" i="76" s="1"/>
  <c r="Z166" i="76"/>
  <c r="AE166" i="76" s="1"/>
  <c r="Z168" i="76"/>
  <c r="AE168" i="76" s="1"/>
  <c r="AD268" i="76"/>
  <c r="AI268" i="76" s="1"/>
  <c r="Z249" i="76"/>
  <c r="AE249" i="76" s="1"/>
  <c r="AC238" i="76"/>
  <c r="AH238" i="76" s="1"/>
  <c r="Z223" i="76"/>
  <c r="AE223" i="76" s="1"/>
  <c r="AA306" i="76"/>
  <c r="AF306" i="76" s="1"/>
  <c r="AC418" i="76"/>
  <c r="AH418" i="76" s="1"/>
  <c r="AD399" i="76"/>
  <c r="AI399" i="76" s="1"/>
  <c r="Z368" i="76"/>
  <c r="AE368" i="76" s="1"/>
  <c r="AC363" i="76"/>
  <c r="AH363" i="76" s="1"/>
  <c r="AA351" i="76"/>
  <c r="AF351" i="76" s="1"/>
  <c r="Z336" i="76"/>
  <c r="AE336" i="76" s="1"/>
  <c r="Z324" i="76"/>
  <c r="Z407" i="76"/>
  <c r="AE407" i="76" s="1"/>
  <c r="AD309" i="76"/>
  <c r="AI309" i="76" s="1"/>
  <c r="AC159" i="76"/>
  <c r="AH159" i="76" s="1"/>
  <c r="Z94" i="76"/>
  <c r="AE94" i="76" s="1"/>
  <c r="Z82" i="76"/>
  <c r="AE82" i="76" s="1"/>
  <c r="Z111" i="76"/>
  <c r="AE111" i="76" s="1"/>
  <c r="AD55" i="76"/>
  <c r="AI55" i="76" s="1"/>
  <c r="Z85" i="76"/>
  <c r="AE85" i="76" s="1"/>
  <c r="Z71" i="76"/>
  <c r="AE71" i="76" s="1"/>
  <c r="AA52" i="76"/>
  <c r="AF52" i="76" s="1"/>
  <c r="Z88" i="76"/>
  <c r="AC77" i="76"/>
  <c r="AH77" i="76" s="1"/>
  <c r="Z46" i="76"/>
  <c r="AD61" i="76"/>
  <c r="AI61" i="76" s="1"/>
  <c r="AD63" i="76"/>
  <c r="AI63" i="76" s="1"/>
  <c r="AC35" i="76"/>
  <c r="AH35" i="76" s="1"/>
  <c r="AC225" i="76"/>
  <c r="AH225" i="76" s="1"/>
  <c r="AC211" i="76"/>
  <c r="AH211" i="76" s="1"/>
  <c r="AC209" i="76"/>
  <c r="AH209" i="76" s="1"/>
  <c r="AC182" i="76"/>
  <c r="AH182" i="76" s="1"/>
  <c r="AC176" i="76"/>
  <c r="AH176" i="76" s="1"/>
  <c r="AC177" i="76"/>
  <c r="AH177" i="76" s="1"/>
  <c r="AC409" i="76"/>
  <c r="AH409" i="76" s="1"/>
  <c r="AA384" i="76"/>
  <c r="AF384" i="76" s="1"/>
  <c r="Z230" i="76"/>
  <c r="AE230" i="76" s="1"/>
  <c r="AC230" i="76"/>
  <c r="AH230" i="76" s="1"/>
  <c r="AA357" i="76"/>
  <c r="AF357" i="76" s="1"/>
  <c r="AD312" i="76"/>
  <c r="AI312" i="76" s="1"/>
  <c r="AC172" i="76"/>
  <c r="Z165" i="76"/>
  <c r="AE165" i="76" s="1"/>
  <c r="Z163" i="76"/>
  <c r="AE163" i="76" s="1"/>
  <c r="AA265" i="76"/>
  <c r="AF265" i="76" s="1"/>
  <c r="AA258" i="76"/>
  <c r="AF258" i="76" s="1"/>
  <c r="AC245" i="76"/>
  <c r="AH245" i="76" s="1"/>
  <c r="Z231" i="76"/>
  <c r="AE231" i="76" s="1"/>
  <c r="AD183" i="76"/>
  <c r="AI183" i="76" s="1"/>
  <c r="AA309" i="76"/>
  <c r="AF309" i="76" s="1"/>
  <c r="AA397" i="76"/>
  <c r="AF397" i="76" s="1"/>
  <c r="AD403" i="76"/>
  <c r="Z363" i="76"/>
  <c r="AE363" i="76" s="1"/>
  <c r="AC364" i="76"/>
  <c r="AH364" i="76" s="1"/>
  <c r="AC329" i="76"/>
  <c r="AH329" i="76" s="1"/>
  <c r="AC333" i="76"/>
  <c r="AH333" i="76" s="1"/>
  <c r="AC324" i="76"/>
  <c r="AH324" i="76" s="1"/>
  <c r="AA400" i="76"/>
  <c r="AF400" i="76" s="1"/>
  <c r="AD179" i="76"/>
  <c r="AI179" i="76" s="1"/>
  <c r="Z421" i="76"/>
  <c r="AE421" i="76" s="1"/>
  <c r="Z371" i="76"/>
  <c r="AE371" i="76" s="1"/>
  <c r="Z160" i="76"/>
  <c r="AE160" i="76" s="1"/>
  <c r="AC101" i="76"/>
  <c r="AH101" i="76" s="1"/>
  <c r="AD48" i="76"/>
  <c r="AI48" i="76" s="1"/>
  <c r="AC111" i="76"/>
  <c r="AH111" i="76" s="1"/>
  <c r="AA61" i="76"/>
  <c r="AF61" i="76" s="1"/>
  <c r="AC73" i="76"/>
  <c r="AH73" i="76" s="1"/>
  <c r="AA55" i="76"/>
  <c r="AF55" i="76" s="1"/>
  <c r="AD56" i="76"/>
  <c r="AI56" i="76" s="1"/>
  <c r="AD54" i="76"/>
  <c r="AI54" i="76" s="1"/>
  <c r="Z72" i="76"/>
  <c r="AE72" i="76" s="1"/>
  <c r="AC74" i="76"/>
  <c r="AH74" i="76" s="1"/>
  <c r="Z96" i="76"/>
  <c r="AE96" i="76" s="1"/>
  <c r="Z35" i="76"/>
  <c r="AE35" i="76" s="1"/>
  <c r="AC37" i="76"/>
  <c r="AH37" i="76" s="1"/>
  <c r="AC377" i="76"/>
  <c r="AH377" i="76" s="1"/>
  <c r="Z196" i="76"/>
  <c r="AE196" i="76" s="1"/>
  <c r="Z200" i="76"/>
  <c r="AE200" i="76" s="1"/>
  <c r="Z202" i="76"/>
  <c r="AE202" i="76" s="1"/>
  <c r="Z189" i="76"/>
  <c r="AE189" i="76" s="1"/>
  <c r="AC178" i="76"/>
  <c r="AH178" i="76" s="1"/>
  <c r="Z176" i="76"/>
  <c r="AE176" i="76" s="1"/>
  <c r="Z417" i="76"/>
  <c r="AE417" i="76" s="1"/>
  <c r="AD393" i="76"/>
  <c r="AI393" i="76" s="1"/>
  <c r="AC221" i="76"/>
  <c r="AH221" i="76" s="1"/>
  <c r="AC222" i="76"/>
  <c r="AH222" i="76" s="1"/>
  <c r="Z225" i="76"/>
  <c r="AE225" i="76" s="1"/>
  <c r="AA352" i="76"/>
  <c r="AF352" i="76" s="1"/>
  <c r="AF174" i="76"/>
  <c r="AD314" i="76"/>
  <c r="AI314" i="76" s="1"/>
  <c r="Z164" i="76"/>
  <c r="AE164" i="76" s="1"/>
  <c r="AC163" i="76"/>
  <c r="AH163" i="76" s="1"/>
  <c r="Z155" i="76"/>
  <c r="AE155" i="76" s="1"/>
  <c r="AD273" i="76"/>
  <c r="AI273" i="76" s="1"/>
  <c r="AA273" i="76"/>
  <c r="AF273" i="76" s="1"/>
  <c r="Z242" i="76"/>
  <c r="AE242" i="76" s="1"/>
  <c r="AA310" i="76"/>
  <c r="AF310" i="76" s="1"/>
  <c r="AD391" i="76"/>
  <c r="AI391" i="76" s="1"/>
  <c r="Z369" i="76"/>
  <c r="AE369" i="76" s="1"/>
  <c r="Z377" i="76"/>
  <c r="AE377" i="76" s="1"/>
  <c r="Z370" i="76"/>
  <c r="AE370" i="76" s="1"/>
  <c r="Z321" i="76"/>
  <c r="AE321" i="76" s="1"/>
  <c r="Z328" i="76"/>
  <c r="AE328" i="76" s="1"/>
  <c r="AC328" i="76"/>
  <c r="AH328" i="76" s="1"/>
  <c r="AD390" i="76"/>
  <c r="AI390" i="76" s="1"/>
  <c r="AA319" i="76"/>
  <c r="Z409" i="76"/>
  <c r="AE409" i="76" s="1"/>
  <c r="Z367" i="76"/>
  <c r="AE367" i="76" s="1"/>
  <c r="AA314" i="76"/>
  <c r="AF314" i="76" s="1"/>
  <c r="AC327" i="76"/>
  <c r="AH327" i="76" s="1"/>
  <c r="Z37" i="76"/>
  <c r="AE37" i="76" s="1"/>
  <c r="AC88" i="76"/>
  <c r="Z69" i="76"/>
  <c r="AE69" i="76" s="1"/>
  <c r="Z29" i="76"/>
  <c r="AE29" i="76" s="1"/>
  <c r="Z83" i="76"/>
  <c r="AE83" i="76" s="1"/>
  <c r="AC30" i="76"/>
  <c r="AH30" i="76" s="1"/>
  <c r="AC109" i="76"/>
  <c r="AC83" i="76"/>
  <c r="AH83" i="76" s="1"/>
  <c r="AC379" i="76"/>
  <c r="AH379" i="76" s="1"/>
  <c r="Z214" i="76"/>
  <c r="AC195" i="76"/>
  <c r="AH195" i="76" s="1"/>
  <c r="AC199" i="76"/>
  <c r="AH199" i="76" s="1"/>
  <c r="Z183" i="76"/>
  <c r="AE183" i="76" s="1"/>
  <c r="AC180" i="76"/>
  <c r="AH180" i="76" s="1"/>
  <c r="Z406" i="76"/>
  <c r="AE406" i="76" s="1"/>
  <c r="AC420" i="76"/>
  <c r="AH420" i="76" s="1"/>
  <c r="AA386" i="76"/>
  <c r="AF386" i="76" s="1"/>
  <c r="Z235" i="76"/>
  <c r="AC226" i="76"/>
  <c r="AH226" i="76" s="1"/>
  <c r="AD347" i="76"/>
  <c r="AI347" i="76" s="1"/>
  <c r="AD306" i="76"/>
  <c r="AI306" i="76" s="1"/>
  <c r="Z161" i="76"/>
  <c r="AE161" i="76" s="1"/>
  <c r="AC160" i="76"/>
  <c r="AH160" i="76" s="1"/>
  <c r="AA271" i="76"/>
  <c r="AF271" i="76" s="1"/>
  <c r="Z366" i="76"/>
  <c r="AE366" i="76" s="1"/>
  <c r="AA346" i="76"/>
  <c r="AF346" i="76" s="1"/>
  <c r="AC335" i="76"/>
  <c r="AH335" i="76" s="1"/>
  <c r="Z334" i="76"/>
  <c r="AE334" i="76" s="1"/>
  <c r="AC407" i="76"/>
  <c r="AH407" i="76" s="1"/>
  <c r="F42" i="40"/>
  <c r="Q21" i="3" s="1"/>
  <c r="E21" i="3" s="1"/>
  <c r="AA229" i="76"/>
  <c r="AF229" i="76" s="1"/>
  <c r="AC204" i="76"/>
  <c r="AH204" i="76" s="1"/>
  <c r="AD221" i="76"/>
  <c r="AI221" i="76" s="1"/>
  <c r="AD218" i="76"/>
  <c r="AI218" i="76" s="1"/>
  <c r="AA219" i="76"/>
  <c r="AF219" i="76" s="1"/>
  <c r="AD223" i="76"/>
  <c r="AI223" i="76" s="1"/>
  <c r="AA259" i="76"/>
  <c r="AF259" i="76" s="1"/>
  <c r="AA22" i="76"/>
  <c r="AF22" i="76" s="1"/>
  <c r="AC10" i="76"/>
  <c r="AH10" i="76" s="1"/>
  <c r="AC36" i="76"/>
  <c r="AH36" i="76" s="1"/>
  <c r="X68" i="76"/>
  <c r="X131" i="76"/>
  <c r="AD139" i="76"/>
  <c r="AI139" i="76" s="1"/>
  <c r="AA165" i="76"/>
  <c r="AA190" i="76"/>
  <c r="AF190" i="76" s="1"/>
  <c r="V215" i="76"/>
  <c r="AA202" i="76"/>
  <c r="AF202" i="76" s="1"/>
  <c r="V236" i="76"/>
  <c r="AA231" i="76"/>
  <c r="AF231" i="76" s="1"/>
  <c r="AD240" i="76"/>
  <c r="AI240" i="76" s="1"/>
  <c r="Y257" i="76"/>
  <c r="AD290" i="76"/>
  <c r="AI290" i="76" s="1"/>
  <c r="Z180" i="76"/>
  <c r="AE180" i="76" s="1"/>
  <c r="Z248" i="76"/>
  <c r="AE248" i="76" s="1"/>
  <c r="Z298" i="76"/>
  <c r="Y47" i="76"/>
  <c r="Y320" i="76"/>
  <c r="AC34" i="76"/>
  <c r="AH34" i="76" s="1"/>
  <c r="AA184" i="76"/>
  <c r="AF184" i="76" s="1"/>
  <c r="AD219" i="76"/>
  <c r="AI219" i="76" s="1"/>
  <c r="AA251" i="76"/>
  <c r="AF251" i="76" s="1"/>
  <c r="AA204" i="76"/>
  <c r="AF204" i="76" s="1"/>
  <c r="AA205" i="76"/>
  <c r="AF205" i="76" s="1"/>
  <c r="AA244" i="76"/>
  <c r="AF244" i="76" s="1"/>
  <c r="AD210" i="76"/>
  <c r="C30" i="40"/>
  <c r="O9" i="3" s="1"/>
  <c r="C40" i="40"/>
  <c r="O19" i="3" s="1"/>
  <c r="C39" i="40"/>
  <c r="O18" i="3" s="1"/>
  <c r="Z43" i="76"/>
  <c r="AE43" i="76" s="1"/>
  <c r="AD186" i="76"/>
  <c r="AI186" i="76" s="1"/>
  <c r="AA235" i="76"/>
  <c r="AA253" i="76"/>
  <c r="AF253" i="76" s="1"/>
  <c r="AA283" i="76"/>
  <c r="AF283" i="76" s="1"/>
  <c r="AD201" i="76"/>
  <c r="AI201" i="76" s="1"/>
  <c r="AA201" i="76"/>
  <c r="AF201" i="76" s="1"/>
  <c r="AD251" i="76"/>
  <c r="AI251" i="76" s="1"/>
  <c r="AD230" i="76"/>
  <c r="AI230" i="76" s="1"/>
  <c r="AA227" i="76"/>
  <c r="AF227" i="76" s="1"/>
  <c r="AD247" i="76"/>
  <c r="AI247" i="76" s="1"/>
  <c r="Z54" i="76"/>
  <c r="AE54" i="76" s="1"/>
  <c r="Y404" i="76"/>
  <c r="AD175" i="76"/>
  <c r="AI175" i="76" s="1"/>
  <c r="AA224" i="76"/>
  <c r="AF224" i="76" s="1"/>
  <c r="AD252" i="76"/>
  <c r="AI252" i="76" s="1"/>
  <c r="AC41" i="76"/>
  <c r="AH41" i="76" s="1"/>
  <c r="AD198" i="76"/>
  <c r="AA243" i="76"/>
  <c r="AF243" i="76" s="1"/>
  <c r="AA238" i="76"/>
  <c r="AF238" i="76" s="1"/>
  <c r="AD235" i="76"/>
  <c r="AA246" i="76"/>
  <c r="AF246" i="76" s="1"/>
  <c r="AD239" i="76"/>
  <c r="AI239" i="76" s="1"/>
  <c r="V89" i="76"/>
  <c r="AA223" i="76"/>
  <c r="AF223" i="76" s="1"/>
  <c r="AD280" i="76"/>
  <c r="AI280" i="76" s="1"/>
  <c r="AD248" i="76"/>
  <c r="AI248" i="76" s="1"/>
  <c r="AA210" i="76"/>
  <c r="AF210" i="76" s="1"/>
  <c r="AA206" i="76"/>
  <c r="AF206" i="76" s="1"/>
  <c r="AD237" i="76"/>
  <c r="AI237" i="76" s="1"/>
  <c r="AD225" i="76"/>
  <c r="AI225" i="76" s="1"/>
  <c r="AA240" i="76"/>
  <c r="AF240" i="76" s="1"/>
  <c r="AA220" i="76"/>
  <c r="AF220" i="76" s="1"/>
  <c r="AD389" i="76"/>
  <c r="AI389" i="76" s="1"/>
  <c r="AD181" i="76"/>
  <c r="AI181" i="76" s="1"/>
  <c r="AD211" i="76"/>
  <c r="AI211" i="76" s="1"/>
  <c r="AA256" i="76"/>
  <c r="AA203" i="76"/>
  <c r="AF203" i="76" s="1"/>
  <c r="AA200" i="76"/>
  <c r="AF200" i="76" s="1"/>
  <c r="AD243" i="76"/>
  <c r="AI243" i="76" s="1"/>
  <c r="AA250" i="76"/>
  <c r="AF250" i="76" s="1"/>
  <c r="AD180" i="76"/>
  <c r="AI180" i="76" s="1"/>
  <c r="AA218" i="76"/>
  <c r="AF218" i="76" s="1"/>
  <c r="AA221" i="76"/>
  <c r="AF221" i="76" s="1"/>
  <c r="Z308" i="76"/>
  <c r="AE308" i="76" s="1"/>
  <c r="Y341" i="76"/>
  <c r="AD332" i="76"/>
  <c r="AI332" i="76" s="1"/>
  <c r="U362" i="76"/>
  <c r="AC344" i="76"/>
  <c r="AH344" i="76" s="1"/>
  <c r="AI374" i="76"/>
  <c r="V383" i="76"/>
  <c r="Z28" i="76"/>
  <c r="AE28" i="76" s="1"/>
  <c r="AD190" i="76"/>
  <c r="AI190" i="76" s="1"/>
  <c r="AD217" i="76"/>
  <c r="AI217" i="76" s="1"/>
  <c r="AD227" i="76"/>
  <c r="AI227" i="76" s="1"/>
  <c r="AA237" i="76"/>
  <c r="AF237" i="76" s="1"/>
  <c r="AD281" i="76"/>
  <c r="AI281" i="76" s="1"/>
  <c r="AD207" i="76"/>
  <c r="AI207" i="76" s="1"/>
  <c r="AA247" i="76"/>
  <c r="AF247" i="76" s="1"/>
  <c r="AA199" i="76"/>
  <c r="AF199" i="76" s="1"/>
  <c r="AA209" i="76"/>
  <c r="AF209" i="76" s="1"/>
  <c r="AA222" i="76"/>
  <c r="AF222" i="76" s="1"/>
  <c r="AD222" i="76"/>
  <c r="AI222" i="76" s="1"/>
  <c r="AD245" i="76"/>
  <c r="AI245" i="76" s="1"/>
  <c r="AD224" i="76"/>
  <c r="AI224" i="76" s="1"/>
  <c r="F425" i="76"/>
  <c r="AH217" i="76"/>
  <c r="AC38" i="76"/>
  <c r="AH38" i="76" s="1"/>
  <c r="AD176" i="76"/>
  <c r="AI176" i="76" s="1"/>
  <c r="AA177" i="76"/>
  <c r="AD231" i="76"/>
  <c r="AI231" i="76" s="1"/>
  <c r="AA242" i="76"/>
  <c r="AF242" i="76" s="1"/>
  <c r="AA298" i="76"/>
  <c r="AD204" i="76"/>
  <c r="AI204" i="76" s="1"/>
  <c r="AD256" i="76"/>
  <c r="AD206" i="76"/>
  <c r="AI206" i="76" s="1"/>
  <c r="AD209" i="76"/>
  <c r="AI209" i="76" s="1"/>
  <c r="AD246" i="76"/>
  <c r="AI246" i="76" s="1"/>
  <c r="AD241" i="76"/>
  <c r="AI241" i="76" s="1"/>
  <c r="AA230" i="76"/>
  <c r="AF230" i="76" s="1"/>
  <c r="AD151" i="76"/>
  <c r="V173" i="76"/>
  <c r="AF165" i="76"/>
  <c r="AA164" i="76"/>
  <c r="AF164" i="76" s="1"/>
  <c r="V194" i="76"/>
  <c r="Z41" i="76"/>
  <c r="AE41" i="76" s="1"/>
  <c r="AA193" i="76"/>
  <c r="AD185" i="76"/>
  <c r="AI185" i="76" s="1"/>
  <c r="AD242" i="76"/>
  <c r="AI242" i="76" s="1"/>
  <c r="AA195" i="76"/>
  <c r="AF195" i="76" s="1"/>
  <c r="AD202" i="76"/>
  <c r="AI202" i="76" s="1"/>
  <c r="AD249" i="76"/>
  <c r="AI249" i="76" s="1"/>
  <c r="AD228" i="76"/>
  <c r="AI228" i="76" s="1"/>
  <c r="AD229" i="76"/>
  <c r="AI229" i="76" s="1"/>
  <c r="AA216" i="76"/>
  <c r="AF216" i="76" s="1"/>
  <c r="C37" i="40"/>
  <c r="O16" i="3" s="1"/>
  <c r="AD42" i="76"/>
  <c r="AI42" i="76" s="1"/>
  <c r="AC136" i="76"/>
  <c r="AH136" i="76" s="1"/>
  <c r="AD182" i="76"/>
  <c r="AI182" i="76" s="1"/>
  <c r="AA186" i="76"/>
  <c r="AF186" i="76" s="1"/>
  <c r="AD216" i="76"/>
  <c r="AI216" i="76" s="1"/>
  <c r="AA239" i="76"/>
  <c r="AF239" i="76" s="1"/>
  <c r="AA294" i="76"/>
  <c r="AF294" i="76" s="1"/>
  <c r="AD220" i="76"/>
  <c r="AI220" i="76" s="1"/>
  <c r="AA241" i="76"/>
  <c r="AF241" i="76" s="1"/>
  <c r="AA70" i="76"/>
  <c r="AF70" i="76" s="1"/>
  <c r="Y131" i="76"/>
  <c r="AC116" i="76"/>
  <c r="AH116" i="76" s="1"/>
  <c r="Y152" i="76"/>
  <c r="Y194" i="76"/>
  <c r="AD226" i="76"/>
  <c r="AI226" i="76" s="1"/>
  <c r="AA252" i="76"/>
  <c r="AF252" i="76" s="1"/>
  <c r="AD286" i="76"/>
  <c r="AI286" i="76" s="1"/>
  <c r="AA249" i="76"/>
  <c r="AF249" i="76" s="1"/>
  <c r="AA217" i="76"/>
  <c r="AF217" i="76" s="1"/>
  <c r="AA225" i="76"/>
  <c r="AF225" i="76" s="1"/>
  <c r="F37" i="40"/>
  <c r="Q16" i="3" s="1"/>
  <c r="AC143" i="76"/>
  <c r="AH143" i="76" s="1"/>
  <c r="U320" i="76"/>
  <c r="B50" i="3"/>
  <c r="AC50" i="76"/>
  <c r="AH50" i="76" s="1"/>
  <c r="Z59" i="76"/>
  <c r="AE59" i="76" s="1"/>
  <c r="AA49" i="76"/>
  <c r="AF49" i="76" s="1"/>
  <c r="Z49" i="76"/>
  <c r="AE49" i="76" s="1"/>
  <c r="AC55" i="76"/>
  <c r="AH55" i="76" s="1"/>
  <c r="AC51" i="76"/>
  <c r="AH51" i="76" s="1"/>
  <c r="AC64" i="76"/>
  <c r="AH64" i="76" s="1"/>
  <c r="AC61" i="76"/>
  <c r="AH61" i="76" s="1"/>
  <c r="Z60" i="76"/>
  <c r="AE60" i="76" s="1"/>
  <c r="AC62" i="76"/>
  <c r="AH62" i="76" s="1"/>
  <c r="AC52" i="76"/>
  <c r="AH52" i="76" s="1"/>
  <c r="AC57" i="76"/>
  <c r="AH57" i="76" s="1"/>
  <c r="AC63" i="76"/>
  <c r="AH63" i="76" s="1"/>
  <c r="Z53" i="76"/>
  <c r="AE53" i="76" s="1"/>
  <c r="Z48" i="76"/>
  <c r="AE48" i="76" s="1"/>
  <c r="AC60" i="76"/>
  <c r="AH60" i="76" s="1"/>
  <c r="AC67" i="76"/>
  <c r="E30" i="40"/>
  <c r="P9" i="3" s="1"/>
  <c r="Z58" i="76"/>
  <c r="AE58" i="76" s="1"/>
  <c r="Z50" i="76"/>
  <c r="AE50" i="76" s="1"/>
  <c r="Z64" i="76"/>
  <c r="AE64" i="76" s="1"/>
  <c r="AC53" i="76"/>
  <c r="AH53" i="76" s="1"/>
  <c r="AC56" i="76"/>
  <c r="AH56" i="76" s="1"/>
  <c r="Z51" i="76"/>
  <c r="AE51" i="76" s="1"/>
  <c r="Z56" i="76"/>
  <c r="AE56" i="76" s="1"/>
  <c r="AC48" i="76"/>
  <c r="AH48" i="76" s="1"/>
  <c r="Z67" i="76"/>
  <c r="Z57" i="76"/>
  <c r="AE57" i="76" s="1"/>
  <c r="Z52" i="76"/>
  <c r="AE52" i="76" s="1"/>
  <c r="AC58" i="76"/>
  <c r="AH58" i="76" s="1"/>
  <c r="Z61" i="76"/>
  <c r="AE61" i="76" s="1"/>
  <c r="Z55" i="76"/>
  <c r="AE55" i="76" s="1"/>
  <c r="I75" i="3"/>
  <c r="AD36" i="76"/>
  <c r="AI36" i="76" s="1"/>
  <c r="AA40" i="76"/>
  <c r="AF40" i="76" s="1"/>
  <c r="AD28" i="76"/>
  <c r="AI28" i="76" s="1"/>
  <c r="AD12" i="76"/>
  <c r="AI12" i="76" s="1"/>
  <c r="Y26" i="76"/>
  <c r="AD33" i="76"/>
  <c r="AI33" i="76" s="1"/>
  <c r="AA38" i="76"/>
  <c r="AF38" i="76" s="1"/>
  <c r="C42" i="40"/>
  <c r="O21" i="3" s="1"/>
  <c r="AA27" i="76"/>
  <c r="AF27" i="76" s="1"/>
  <c r="AD40" i="76"/>
  <c r="AI40" i="76" s="1"/>
  <c r="AD46" i="76"/>
  <c r="AD34" i="76"/>
  <c r="AI34" i="76" s="1"/>
  <c r="V47" i="76"/>
  <c r="AD35" i="76"/>
  <c r="AI35" i="76" s="1"/>
  <c r="AD32" i="76"/>
  <c r="AI32" i="76" s="1"/>
  <c r="AD37" i="76"/>
  <c r="AI37" i="76" s="1"/>
  <c r="AD38" i="76"/>
  <c r="AI38" i="76" s="1"/>
  <c r="AD31" i="76"/>
  <c r="AI31" i="76" s="1"/>
  <c r="AD29" i="76"/>
  <c r="AI29" i="76" s="1"/>
  <c r="AD39" i="76"/>
  <c r="AI39" i="76" s="1"/>
  <c r="AA39" i="76"/>
  <c r="AF39" i="76" s="1"/>
  <c r="E73" i="3"/>
  <c r="AA31" i="76"/>
  <c r="AF31" i="76" s="1"/>
  <c r="AA46" i="76"/>
  <c r="AA29" i="76"/>
  <c r="AF29" i="76" s="1"/>
  <c r="AA34" i="76"/>
  <c r="AF34" i="76" s="1"/>
  <c r="AA35" i="76"/>
  <c r="AF35" i="76" s="1"/>
  <c r="AA33" i="76"/>
  <c r="AF33" i="76" s="1"/>
  <c r="AA43" i="76"/>
  <c r="AF43" i="76" s="1"/>
  <c r="AA37" i="76"/>
  <c r="AF37" i="76" s="1"/>
  <c r="AD30" i="76"/>
  <c r="AI30" i="76" s="1"/>
  <c r="AA42" i="76"/>
  <c r="AF42" i="76" s="1"/>
  <c r="AA32" i="76"/>
  <c r="AF32" i="76" s="1"/>
  <c r="AD43" i="76"/>
  <c r="AI43" i="76" s="1"/>
  <c r="AA36" i="76"/>
  <c r="AF36" i="76" s="1"/>
  <c r="AA30" i="76"/>
  <c r="AF30" i="76" s="1"/>
  <c r="AD41" i="76"/>
  <c r="AI41" i="76" s="1"/>
  <c r="AA28" i="76"/>
  <c r="AA41" i="76"/>
  <c r="AF41" i="76" s="1"/>
  <c r="Q46" i="40"/>
  <c r="E33" i="40"/>
  <c r="P12" i="3" s="1"/>
  <c r="AE324" i="76"/>
  <c r="AF262" i="76"/>
  <c r="AF315" i="76"/>
  <c r="AD148" i="76"/>
  <c r="AI148" i="76" s="1"/>
  <c r="AC137" i="76"/>
  <c r="AH137" i="76" s="1"/>
  <c r="Z132" i="76"/>
  <c r="AE132" i="76" s="1"/>
  <c r="Z253" i="76"/>
  <c r="AE253" i="76" s="1"/>
  <c r="AD138" i="76"/>
  <c r="AI138" i="76" s="1"/>
  <c r="Z358" i="76"/>
  <c r="AE358" i="76" s="1"/>
  <c r="Z345" i="76"/>
  <c r="AC352" i="76"/>
  <c r="AH352" i="76" s="1"/>
  <c r="AC314" i="76"/>
  <c r="AH314" i="76" s="1"/>
  <c r="AD140" i="76"/>
  <c r="AI140" i="76" s="1"/>
  <c r="Z178" i="76"/>
  <c r="AE178" i="76" s="1"/>
  <c r="E45" i="40"/>
  <c r="P24" i="3" s="1"/>
  <c r="AC214" i="76"/>
  <c r="AD346" i="76"/>
  <c r="AI346" i="76" s="1"/>
  <c r="AD27" i="76"/>
  <c r="AI27" i="76" s="1"/>
  <c r="E41" i="40"/>
  <c r="P20" i="3" s="1"/>
  <c r="AA147" i="76"/>
  <c r="AF147" i="76" s="1"/>
  <c r="AA132" i="76"/>
  <c r="AF132" i="76" s="1"/>
  <c r="Z145" i="76"/>
  <c r="AE145" i="76" s="1"/>
  <c r="AC147" i="76"/>
  <c r="AH147" i="76" s="1"/>
  <c r="Z133" i="76"/>
  <c r="AE133" i="76" s="1"/>
  <c r="AC242" i="76"/>
  <c r="AH242" i="76" s="1"/>
  <c r="AE303" i="76"/>
  <c r="AA260" i="76"/>
  <c r="Z342" i="76"/>
  <c r="AE342" i="76" s="1"/>
  <c r="AC354" i="76"/>
  <c r="AH354" i="76" s="1"/>
  <c r="AC348" i="76"/>
  <c r="AH348" i="76" s="1"/>
  <c r="AA134" i="76"/>
  <c r="AF134" i="76" s="1"/>
  <c r="AA137" i="76"/>
  <c r="AF137" i="76" s="1"/>
  <c r="AD137" i="76"/>
  <c r="AI137" i="76" s="1"/>
  <c r="AC285" i="76"/>
  <c r="AH285" i="76" s="1"/>
  <c r="AC284" i="76"/>
  <c r="AH284" i="76" s="1"/>
  <c r="AC286" i="76"/>
  <c r="AH286" i="76" s="1"/>
  <c r="AC280" i="76"/>
  <c r="AH280" i="76" s="1"/>
  <c r="Z287" i="76"/>
  <c r="AE287" i="76" s="1"/>
  <c r="AD60" i="76"/>
  <c r="AI60" i="76" s="1"/>
  <c r="U89" i="76"/>
  <c r="Z125" i="76"/>
  <c r="AE125" i="76" s="1"/>
  <c r="Z144" i="76"/>
  <c r="AE144" i="76" s="1"/>
  <c r="AD145" i="76"/>
  <c r="AI145" i="76" s="1"/>
  <c r="AD141" i="76"/>
  <c r="AI141" i="76" s="1"/>
  <c r="Z134" i="76"/>
  <c r="AE134" i="76" s="1"/>
  <c r="AC139" i="76"/>
  <c r="AH139" i="76" s="1"/>
  <c r="Z139" i="76"/>
  <c r="AE139" i="76" s="1"/>
  <c r="AC250" i="76"/>
  <c r="AH250" i="76" s="1"/>
  <c r="AC253" i="76"/>
  <c r="AH253" i="76" s="1"/>
  <c r="Z238" i="76"/>
  <c r="AE238" i="76" s="1"/>
  <c r="AA272" i="76"/>
  <c r="AF272" i="76" s="1"/>
  <c r="X257" i="76"/>
  <c r="Z344" i="76"/>
  <c r="AE344" i="76" s="1"/>
  <c r="AD143" i="76"/>
  <c r="AI143" i="76" s="1"/>
  <c r="AC282" i="76"/>
  <c r="AH282" i="76" s="1"/>
  <c r="Z280" i="76"/>
  <c r="AE280" i="76" s="1"/>
  <c r="AD146" i="76"/>
  <c r="AI146" i="76" s="1"/>
  <c r="AA142" i="76"/>
  <c r="AF142" i="76" s="1"/>
  <c r="AC146" i="76"/>
  <c r="AH146" i="76" s="1"/>
  <c r="Z143" i="76"/>
  <c r="AE143" i="76" s="1"/>
  <c r="AC256" i="76"/>
  <c r="Z251" i="76"/>
  <c r="AE251" i="76" s="1"/>
  <c r="AD262" i="76"/>
  <c r="AI262" i="76" s="1"/>
  <c r="AC343" i="76"/>
  <c r="AH343" i="76" s="1"/>
  <c r="AC196" i="76"/>
  <c r="AH196" i="76" s="1"/>
  <c r="AC358" i="76"/>
  <c r="AH358" i="76" s="1"/>
  <c r="AC349" i="76"/>
  <c r="AH349" i="76" s="1"/>
  <c r="AC345" i="76"/>
  <c r="AH345" i="76" s="1"/>
  <c r="AA135" i="76"/>
  <c r="AF135" i="76" s="1"/>
  <c r="Z281" i="76"/>
  <c r="AE281" i="76" s="1"/>
  <c r="AC355" i="76"/>
  <c r="AH355" i="76" s="1"/>
  <c r="AC287" i="76"/>
  <c r="AH287" i="76" s="1"/>
  <c r="AC289" i="76"/>
  <c r="AH289" i="76" s="1"/>
  <c r="B33" i="40"/>
  <c r="N12" i="3" s="1"/>
  <c r="Z98" i="76"/>
  <c r="AC126" i="76"/>
  <c r="AH126" i="76" s="1"/>
  <c r="V152" i="76"/>
  <c r="Z340" i="76"/>
  <c r="AC54" i="76"/>
  <c r="AH54" i="76" s="1"/>
  <c r="AA151" i="76"/>
  <c r="Z349" i="76"/>
  <c r="AE349" i="76" s="1"/>
  <c r="Z348" i="76"/>
  <c r="AE348" i="76" s="1"/>
  <c r="Z355" i="76"/>
  <c r="AE355" i="76" s="1"/>
  <c r="Z279" i="76"/>
  <c r="Z293" i="76"/>
  <c r="AE293" i="76" s="1"/>
  <c r="AC293" i="76"/>
  <c r="AH293" i="76" s="1"/>
  <c r="AC361" i="76"/>
  <c r="AD96" i="76"/>
  <c r="AI96" i="76" s="1"/>
  <c r="X152" i="76"/>
  <c r="AD144" i="76"/>
  <c r="AI144" i="76" s="1"/>
  <c r="AA73" i="76"/>
  <c r="AF73" i="76" s="1"/>
  <c r="Z140" i="76"/>
  <c r="AE140" i="76" s="1"/>
  <c r="AC135" i="76"/>
  <c r="AH135" i="76" s="1"/>
  <c r="AC140" i="76"/>
  <c r="AH140" i="76" s="1"/>
  <c r="AA267" i="76"/>
  <c r="AF267" i="76" s="1"/>
  <c r="AD272" i="76"/>
  <c r="AI272" i="76" s="1"/>
  <c r="AC239" i="76"/>
  <c r="AH239" i="76" s="1"/>
  <c r="AC244" i="76"/>
  <c r="AH244" i="76" s="1"/>
  <c r="AC237" i="76"/>
  <c r="AH237" i="76" s="1"/>
  <c r="Z306" i="76"/>
  <c r="AE306" i="76" s="1"/>
  <c r="AC302" i="76"/>
  <c r="AH302" i="76" s="1"/>
  <c r="AD269" i="76"/>
  <c r="AI269" i="76" s="1"/>
  <c r="Z343" i="76"/>
  <c r="AE343" i="76" s="1"/>
  <c r="AC203" i="76"/>
  <c r="AH203" i="76" s="1"/>
  <c r="Z350" i="76"/>
  <c r="AE350" i="76" s="1"/>
  <c r="AC353" i="76"/>
  <c r="AH353" i="76" s="1"/>
  <c r="AA138" i="76"/>
  <c r="AF138" i="76" s="1"/>
  <c r="Z354" i="76"/>
  <c r="AE354" i="76" s="1"/>
  <c r="AA399" i="76"/>
  <c r="AF399" i="76" s="1"/>
  <c r="Z247" i="76"/>
  <c r="AE247" i="76" s="1"/>
  <c r="AC295" i="76"/>
  <c r="AH295" i="76" s="1"/>
  <c r="AC43" i="76"/>
  <c r="AH43" i="76" s="1"/>
  <c r="AC69" i="76"/>
  <c r="F45" i="40"/>
  <c r="Q24" i="3" s="1"/>
  <c r="X383" i="76"/>
  <c r="AD133" i="76"/>
  <c r="AI133" i="76" s="1"/>
  <c r="AC145" i="76"/>
  <c r="AH145" i="76" s="1"/>
  <c r="AC151" i="76"/>
  <c r="Z244" i="76"/>
  <c r="AE244" i="76" s="1"/>
  <c r="AD263" i="76"/>
  <c r="AI263" i="76" s="1"/>
  <c r="AC342" i="76"/>
  <c r="Z209" i="76"/>
  <c r="AE209" i="76" s="1"/>
  <c r="AA133" i="76"/>
  <c r="AF133" i="76" s="1"/>
  <c r="AC350" i="76"/>
  <c r="AH350" i="76" s="1"/>
  <c r="AC351" i="76"/>
  <c r="AH351" i="76" s="1"/>
  <c r="Z352" i="76"/>
  <c r="AE352" i="76" s="1"/>
  <c r="Z292" i="76"/>
  <c r="AE292" i="76" s="1"/>
  <c r="AA269" i="76"/>
  <c r="AF269" i="76" s="1"/>
  <c r="AC279" i="76"/>
  <c r="AA277" i="76"/>
  <c r="AC290" i="76"/>
  <c r="AH290" i="76" s="1"/>
  <c r="Z285" i="76"/>
  <c r="AE285" i="76" s="1"/>
  <c r="AC291" i="76"/>
  <c r="AH291" i="76" s="1"/>
  <c r="F30" i="40"/>
  <c r="Q9" i="3" s="1"/>
  <c r="F38" i="40"/>
  <c r="Q17" i="3" s="1"/>
  <c r="F40" i="40"/>
  <c r="AD62" i="76"/>
  <c r="AI62" i="76" s="1"/>
  <c r="V110" i="76"/>
  <c r="X236" i="76"/>
  <c r="AC252" i="76"/>
  <c r="AH252" i="76" s="1"/>
  <c r="AD142" i="76"/>
  <c r="AI142" i="76" s="1"/>
  <c r="AC142" i="76"/>
  <c r="AH142" i="76" s="1"/>
  <c r="Z147" i="76"/>
  <c r="AE147" i="76" s="1"/>
  <c r="Z142" i="76"/>
  <c r="AE142" i="76" s="1"/>
  <c r="AD52" i="76"/>
  <c r="AI52" i="76" s="1"/>
  <c r="AC298" i="76"/>
  <c r="AD136" i="76"/>
  <c r="AI136" i="76" s="1"/>
  <c r="AC356" i="76"/>
  <c r="AH356" i="76" s="1"/>
  <c r="AA144" i="76"/>
  <c r="AF144" i="76" s="1"/>
  <c r="AD258" i="76"/>
  <c r="Z284" i="76"/>
  <c r="AE284" i="76" s="1"/>
  <c r="Z290" i="76"/>
  <c r="AE290" i="76" s="1"/>
  <c r="Z347" i="76"/>
  <c r="AE347" i="76" s="1"/>
  <c r="Z138" i="76"/>
  <c r="AE138" i="76" s="1"/>
  <c r="Z146" i="76"/>
  <c r="AE146" i="76" s="1"/>
  <c r="Z135" i="76"/>
  <c r="AE135" i="76" s="1"/>
  <c r="AD266" i="76"/>
  <c r="AI266" i="76" s="1"/>
  <c r="AC202" i="76"/>
  <c r="AH202" i="76" s="1"/>
  <c r="Z205" i="76"/>
  <c r="AA145" i="76"/>
  <c r="AF145" i="76" s="1"/>
  <c r="Z351" i="76"/>
  <c r="AE351" i="76" s="1"/>
  <c r="AC347" i="76"/>
  <c r="AH347" i="76" s="1"/>
  <c r="Z356" i="76"/>
  <c r="AE356" i="76" s="1"/>
  <c r="Z346" i="76"/>
  <c r="AE346" i="76" s="1"/>
  <c r="AA139" i="76"/>
  <c r="AF139" i="76" s="1"/>
  <c r="AD165" i="76"/>
  <c r="AI165" i="76" s="1"/>
  <c r="AC294" i="76"/>
  <c r="AH294" i="76" s="1"/>
  <c r="Z286" i="76"/>
  <c r="AE286" i="76" s="1"/>
  <c r="Z282" i="76"/>
  <c r="AE282" i="76" s="1"/>
  <c r="Z295" i="76"/>
  <c r="AE295" i="76" s="1"/>
  <c r="Z291" i="76"/>
  <c r="AE291" i="76" s="1"/>
  <c r="AC283" i="76"/>
  <c r="AH283" i="76" s="1"/>
  <c r="AC346" i="76"/>
  <c r="AH346" i="76" s="1"/>
  <c r="K425" i="76"/>
  <c r="AI321" i="76"/>
  <c r="AA136" i="76"/>
  <c r="AF136" i="76" s="1"/>
  <c r="AC148" i="76"/>
  <c r="AH148" i="76" s="1"/>
  <c r="Z148" i="76"/>
  <c r="AE148" i="76" s="1"/>
  <c r="AC133" i="76"/>
  <c r="AH133" i="76" s="1"/>
  <c r="AC249" i="76"/>
  <c r="AH249" i="76" s="1"/>
  <c r="AC246" i="76"/>
  <c r="AH246" i="76" s="1"/>
  <c r="Z237" i="76"/>
  <c r="AE237" i="76" s="1"/>
  <c r="AD274" i="76"/>
  <c r="AI274" i="76" s="1"/>
  <c r="Z357" i="76"/>
  <c r="AE357" i="76" s="1"/>
  <c r="AC357" i="76"/>
  <c r="AH357" i="76" s="1"/>
  <c r="AC319" i="76"/>
  <c r="AD135" i="76"/>
  <c r="AI135" i="76" s="1"/>
  <c r="AC292" i="76"/>
  <c r="AH292" i="76" s="1"/>
  <c r="Z294" i="76"/>
  <c r="AE294" i="76" s="1"/>
  <c r="Z288" i="76"/>
  <c r="AE288" i="76" s="1"/>
  <c r="U131" i="76"/>
  <c r="AA140" i="76"/>
  <c r="AF140" i="76" s="1"/>
  <c r="AD132" i="76"/>
  <c r="AI132" i="76" s="1"/>
  <c r="Z136" i="76"/>
  <c r="AE136" i="76" s="1"/>
  <c r="AC141" i="76"/>
  <c r="AH141" i="76" s="1"/>
  <c r="AC132" i="76"/>
  <c r="Z250" i="76"/>
  <c r="AE250" i="76" s="1"/>
  <c r="AA261" i="76"/>
  <c r="AF261" i="76" s="1"/>
  <c r="AD147" i="76"/>
  <c r="AI147" i="76" s="1"/>
  <c r="AA146" i="76"/>
  <c r="AF146" i="76" s="1"/>
  <c r="Z283" i="76"/>
  <c r="AE283" i="76" s="1"/>
  <c r="Z289" i="76"/>
  <c r="AE289" i="76" s="1"/>
  <c r="V131" i="76"/>
  <c r="V341" i="76"/>
  <c r="I50" i="3"/>
  <c r="AA25" i="76"/>
  <c r="H75" i="3"/>
  <c r="AA20" i="76"/>
  <c r="AF20" i="76" s="1"/>
  <c r="AD22" i="76"/>
  <c r="AI22" i="76" s="1"/>
  <c r="AA6" i="76"/>
  <c r="AA19" i="76"/>
  <c r="AI7" i="76"/>
  <c r="F31" i="40"/>
  <c r="Q10" i="3" s="1"/>
  <c r="G73" i="3"/>
  <c r="F35" i="40"/>
  <c r="Q14" i="3" s="1"/>
  <c r="AA16" i="76"/>
  <c r="AF16" i="76" s="1"/>
  <c r="AD20" i="76"/>
  <c r="AI20" i="76" s="1"/>
  <c r="AD18" i="76"/>
  <c r="AI18" i="76" s="1"/>
  <c r="F32" i="40"/>
  <c r="Q11" i="3" s="1"/>
  <c r="AD6" i="76"/>
  <c r="AI6" i="76" s="1"/>
  <c r="AA8" i="76"/>
  <c r="AD10" i="76"/>
  <c r="AD11" i="76"/>
  <c r="AI11" i="76" s="1"/>
  <c r="AA21" i="76"/>
  <c r="AF21" i="76" s="1"/>
  <c r="AA11" i="76"/>
  <c r="AF11" i="76" s="1"/>
  <c r="F41" i="40"/>
  <c r="Q20" i="3" s="1"/>
  <c r="AA14" i="76"/>
  <c r="AD13" i="76"/>
  <c r="AA15" i="76"/>
  <c r="AF15" i="76" s="1"/>
  <c r="AA13" i="76"/>
  <c r="AF13" i="76" s="1"/>
  <c r="AA7" i="76"/>
  <c r="AF7" i="76" s="1"/>
  <c r="AD21" i="76"/>
  <c r="AA10" i="76"/>
  <c r="AF10" i="76" s="1"/>
  <c r="AA12" i="76"/>
  <c r="AF12" i="76" s="1"/>
  <c r="AD16" i="76"/>
  <c r="AI16" i="76" s="1"/>
  <c r="AA18" i="76"/>
  <c r="AF18" i="76" s="1"/>
  <c r="AD15" i="76"/>
  <c r="AI15" i="76" s="1"/>
  <c r="AD17" i="76"/>
  <c r="AI17" i="76" s="1"/>
  <c r="AD25" i="76"/>
  <c r="AD14" i="76"/>
  <c r="AI14" i="76" s="1"/>
  <c r="AD9" i="76"/>
  <c r="AA17" i="76"/>
  <c r="AF17" i="76" s="1"/>
  <c r="AA9" i="76"/>
  <c r="AD8" i="76"/>
  <c r="AI8" i="76" s="1"/>
  <c r="AD19" i="76"/>
  <c r="Z22" i="76"/>
  <c r="AE22" i="76" s="1"/>
  <c r="X26" i="76"/>
  <c r="B30" i="40"/>
  <c r="V320" i="62"/>
  <c r="Y362" i="62"/>
  <c r="AA398" i="62"/>
  <c r="AF398" i="62" s="1"/>
  <c r="Z95" i="62"/>
  <c r="AE95" i="62" s="1"/>
  <c r="AF304" i="62"/>
  <c r="Z327" i="62"/>
  <c r="AE327" i="62" s="1"/>
  <c r="AD343" i="62"/>
  <c r="AI343" i="62" s="1"/>
  <c r="AC374" i="62"/>
  <c r="AH374" i="62" s="1"/>
  <c r="X425" i="62"/>
  <c r="AC333" i="62"/>
  <c r="AH333" i="62" s="1"/>
  <c r="Z332" i="62"/>
  <c r="AE332" i="62" s="1"/>
  <c r="Z336" i="62"/>
  <c r="AE336" i="62" s="1"/>
  <c r="AA29" i="62"/>
  <c r="AE411" i="62"/>
  <c r="AA352" i="62"/>
  <c r="AF352" i="62" s="1"/>
  <c r="AC370" i="62"/>
  <c r="AH370" i="62" s="1"/>
  <c r="AC188" i="62"/>
  <c r="AH188" i="62" s="1"/>
  <c r="AC369" i="62"/>
  <c r="AH369" i="62" s="1"/>
  <c r="Z377" i="62"/>
  <c r="AE377" i="62" s="1"/>
  <c r="AF306" i="62"/>
  <c r="AA392" i="62"/>
  <c r="AF392" i="62" s="1"/>
  <c r="AA403" i="62"/>
  <c r="Z324" i="62"/>
  <c r="AE324" i="62" s="1"/>
  <c r="AA92" i="62"/>
  <c r="AF92" i="62" s="1"/>
  <c r="Z90" i="62"/>
  <c r="AE90" i="62" s="1"/>
  <c r="F75" i="3"/>
  <c r="B21" i="3"/>
  <c r="AA74" i="62"/>
  <c r="AF74" i="62" s="1"/>
  <c r="AA84" i="62"/>
  <c r="AD82" i="62"/>
  <c r="AI82" i="62" s="1"/>
  <c r="F17" i="40"/>
  <c r="M19" i="3" s="1"/>
  <c r="E8" i="40"/>
  <c r="L10" i="3" s="1"/>
  <c r="B23" i="3"/>
  <c r="X89" i="62"/>
  <c r="Z73" i="62"/>
  <c r="AE73" i="62" s="1"/>
  <c r="AD226" i="62"/>
  <c r="AI226" i="62" s="1"/>
  <c r="AC280" i="62"/>
  <c r="AH280" i="62" s="1"/>
  <c r="AC262" i="62"/>
  <c r="AH262" i="62" s="1"/>
  <c r="AC219" i="62"/>
  <c r="AH219" i="62" s="1"/>
  <c r="Z200" i="62"/>
  <c r="AE200" i="62" s="1"/>
  <c r="X236" i="62"/>
  <c r="U236" i="62"/>
  <c r="U215" i="62"/>
  <c r="B8" i="40"/>
  <c r="J10" i="3" s="1"/>
  <c r="E9" i="40"/>
  <c r="L11" i="3" s="1"/>
  <c r="C10" i="40"/>
  <c r="K12" i="3" s="1"/>
  <c r="C11" i="40"/>
  <c r="K13" i="3" s="1"/>
  <c r="B12" i="40"/>
  <c r="J14" i="3" s="1"/>
  <c r="Y89" i="62"/>
  <c r="U89" i="62"/>
  <c r="Y110" i="62"/>
  <c r="U110" i="62"/>
  <c r="V110" i="62"/>
  <c r="X110" i="62"/>
  <c r="F15" i="40"/>
  <c r="M17" i="3" s="1"/>
  <c r="C16" i="40"/>
  <c r="K18" i="3" s="1"/>
  <c r="U173" i="62"/>
  <c r="C18" i="40"/>
  <c r="K20" i="3" s="1"/>
  <c r="C22" i="40"/>
  <c r="K24" i="3" s="1"/>
  <c r="C24" i="3" s="1"/>
  <c r="AA58" i="62"/>
  <c r="AF58" i="62" s="1"/>
  <c r="U320" i="62"/>
  <c r="AE308" i="62"/>
  <c r="V341" i="62"/>
  <c r="X362" i="62"/>
  <c r="Y383" i="62"/>
  <c r="V425" i="62"/>
  <c r="AF312" i="62"/>
  <c r="Z335" i="62"/>
  <c r="AE335" i="62" s="1"/>
  <c r="AD351" i="62"/>
  <c r="AI351" i="62" s="1"/>
  <c r="AD393" i="62"/>
  <c r="AI393" i="62" s="1"/>
  <c r="AD101" i="62"/>
  <c r="AI101" i="62" s="1"/>
  <c r="Z374" i="62"/>
  <c r="AE374" i="62" s="1"/>
  <c r="Z323" i="62"/>
  <c r="AE323" i="62" s="1"/>
  <c r="AF314" i="62"/>
  <c r="AC322" i="62"/>
  <c r="AH322" i="62" s="1"/>
  <c r="AE421" i="62"/>
  <c r="AD384" i="62"/>
  <c r="AI384" i="62" s="1"/>
  <c r="U383" i="62"/>
  <c r="AC367" i="62"/>
  <c r="AH367" i="62" s="1"/>
  <c r="AC82" i="62"/>
  <c r="AH82" i="62" s="1"/>
  <c r="Z375" i="62"/>
  <c r="AE375" i="62" s="1"/>
  <c r="Z331" i="62"/>
  <c r="AE331" i="62" s="1"/>
  <c r="AC331" i="62"/>
  <c r="AH331" i="62" s="1"/>
  <c r="AA389" i="62"/>
  <c r="AF389" i="62" s="1"/>
  <c r="AA358" i="62"/>
  <c r="AF358" i="62" s="1"/>
  <c r="AC209" i="62"/>
  <c r="AH209" i="62" s="1"/>
  <c r="Z326" i="62"/>
  <c r="AE326" i="62" s="1"/>
  <c r="AE413" i="62"/>
  <c r="AE407" i="62"/>
  <c r="AA385" i="62"/>
  <c r="AF385" i="62" s="1"/>
  <c r="X341" i="62"/>
  <c r="AD347" i="62"/>
  <c r="AI347" i="62" s="1"/>
  <c r="AC368" i="62"/>
  <c r="AH368" i="62" s="1"/>
  <c r="AC379" i="62"/>
  <c r="AH379" i="62" s="1"/>
  <c r="AC337" i="62"/>
  <c r="AH337" i="62" s="1"/>
  <c r="AE409" i="62"/>
  <c r="AA342" i="62"/>
  <c r="Z376" i="62"/>
  <c r="AE376" i="62" s="1"/>
  <c r="Z379" i="62"/>
  <c r="AE379" i="62" s="1"/>
  <c r="Z219" i="62"/>
  <c r="AE219" i="62" s="1"/>
  <c r="AA397" i="62"/>
  <c r="AF397" i="62" s="1"/>
  <c r="AD396" i="62"/>
  <c r="AI396" i="62" s="1"/>
  <c r="AC365" i="62"/>
  <c r="AH365" i="62" s="1"/>
  <c r="AC372" i="62"/>
  <c r="AH372" i="62" s="1"/>
  <c r="AD397" i="62"/>
  <c r="AI397" i="62" s="1"/>
  <c r="AF300" i="62"/>
  <c r="AD392" i="62"/>
  <c r="AI392" i="62" s="1"/>
  <c r="AD399" i="62"/>
  <c r="AI399" i="62" s="1"/>
  <c r="Z334" i="62"/>
  <c r="AE334" i="62" s="1"/>
  <c r="AC327" i="62"/>
  <c r="AH327" i="62" s="1"/>
  <c r="Z364" i="62"/>
  <c r="AE364" i="62" s="1"/>
  <c r="AC323" i="62"/>
  <c r="AH323" i="62" s="1"/>
  <c r="Z382" i="62"/>
  <c r="AC364" i="62"/>
  <c r="AH364" i="62" s="1"/>
  <c r="AF310" i="62"/>
  <c r="AC376" i="62"/>
  <c r="AH376" i="62" s="1"/>
  <c r="AC375" i="62"/>
  <c r="AC328" i="62"/>
  <c r="AH328" i="62" s="1"/>
  <c r="AA393" i="62"/>
  <c r="AF393" i="62" s="1"/>
  <c r="AC382" i="62"/>
  <c r="AC340" i="62"/>
  <c r="Z372" i="62"/>
  <c r="AE372" i="62" s="1"/>
  <c r="AD390" i="62"/>
  <c r="AI390" i="62" s="1"/>
  <c r="Z373" i="62"/>
  <c r="AE373" i="62" s="1"/>
  <c r="AC334" i="62"/>
  <c r="AH334" i="62" s="1"/>
  <c r="Z325" i="62"/>
  <c r="AE325" i="62" s="1"/>
  <c r="AC373" i="62"/>
  <c r="AH373" i="62" s="1"/>
  <c r="AD400" i="62"/>
  <c r="AI400" i="62" s="1"/>
  <c r="AC378" i="62"/>
  <c r="AH378" i="62" s="1"/>
  <c r="Z370" i="62"/>
  <c r="AE370" i="62" s="1"/>
  <c r="AF302" i="62"/>
  <c r="AA283" i="62"/>
  <c r="AF283" i="62" s="1"/>
  <c r="AD284" i="62"/>
  <c r="AI284" i="62" s="1"/>
  <c r="Z240" i="62"/>
  <c r="AE240" i="62" s="1"/>
  <c r="AC253" i="62"/>
  <c r="AC250" i="62"/>
  <c r="AH250" i="62" s="1"/>
  <c r="Z252" i="62"/>
  <c r="AE252" i="62" s="1"/>
  <c r="Z243" i="62"/>
  <c r="AE243" i="62" s="1"/>
  <c r="AC238" i="62"/>
  <c r="AH238" i="62" s="1"/>
  <c r="Z239" i="62"/>
  <c r="AC237" i="62"/>
  <c r="AH237" i="62" s="1"/>
  <c r="Z250" i="62"/>
  <c r="AE250" i="62" s="1"/>
  <c r="Z238" i="62"/>
  <c r="AE238" i="62" s="1"/>
  <c r="Z251" i="62"/>
  <c r="AE251" i="62" s="1"/>
  <c r="AC256" i="62"/>
  <c r="AC244" i="62"/>
  <c r="AH244" i="62" s="1"/>
  <c r="AC247" i="62"/>
  <c r="AH247" i="62" s="1"/>
  <c r="Z249" i="62"/>
  <c r="AE249" i="62" s="1"/>
  <c r="Z237" i="62"/>
  <c r="AE237" i="62" s="1"/>
  <c r="AC239" i="62"/>
  <c r="AH239" i="62" s="1"/>
  <c r="AC181" i="62"/>
  <c r="AH181" i="62" s="1"/>
  <c r="AC184" i="62"/>
  <c r="AH184" i="62" s="1"/>
  <c r="AC185" i="62"/>
  <c r="AH185" i="62" s="1"/>
  <c r="Z183" i="62"/>
  <c r="AE183" i="62" s="1"/>
  <c r="AC178" i="62"/>
  <c r="AH178" i="62" s="1"/>
  <c r="Z178" i="62"/>
  <c r="AE178" i="62" s="1"/>
  <c r="Z179" i="62"/>
  <c r="AE179" i="62" s="1"/>
  <c r="Z176" i="62"/>
  <c r="AE176" i="62" s="1"/>
  <c r="AC186" i="62"/>
  <c r="AH186" i="62" s="1"/>
  <c r="AC190" i="62"/>
  <c r="AH190" i="62" s="1"/>
  <c r="AC193" i="62"/>
  <c r="AC179" i="62"/>
  <c r="AH179" i="62" s="1"/>
  <c r="Z193" i="62"/>
  <c r="Z184" i="62"/>
  <c r="AE184" i="62" s="1"/>
  <c r="AC84" i="62"/>
  <c r="AH84" i="62" s="1"/>
  <c r="Z80" i="62"/>
  <c r="AE80" i="62" s="1"/>
  <c r="AC79" i="62"/>
  <c r="AH79" i="62" s="1"/>
  <c r="AC70" i="62"/>
  <c r="AH70" i="62" s="1"/>
  <c r="AD200" i="62"/>
  <c r="AI200" i="62" s="1"/>
  <c r="AD199" i="62"/>
  <c r="AI199" i="62" s="1"/>
  <c r="AA205" i="62"/>
  <c r="AF205" i="62" s="1"/>
  <c r="AD204" i="62"/>
  <c r="AI204" i="62" s="1"/>
  <c r="AD210" i="62"/>
  <c r="AI210" i="62" s="1"/>
  <c r="AD201" i="62"/>
  <c r="AI201" i="62" s="1"/>
  <c r="AA203" i="62"/>
  <c r="AF203" i="62" s="1"/>
  <c r="AD180" i="62"/>
  <c r="AI180" i="62" s="1"/>
  <c r="AA180" i="62"/>
  <c r="AD181" i="62"/>
  <c r="AI181" i="62" s="1"/>
  <c r="AA184" i="62"/>
  <c r="AF184" i="62" s="1"/>
  <c r="AD184" i="62"/>
  <c r="AI184" i="62" s="1"/>
  <c r="AD177" i="62"/>
  <c r="AI177" i="62" s="1"/>
  <c r="AA179" i="62"/>
  <c r="AF179" i="62" s="1"/>
  <c r="AA176" i="62"/>
  <c r="AF176" i="62" s="1"/>
  <c r="AD176" i="62"/>
  <c r="AI176" i="62" s="1"/>
  <c r="AA190" i="62"/>
  <c r="AF190" i="62" s="1"/>
  <c r="AA175" i="62"/>
  <c r="AF175" i="62" s="1"/>
  <c r="AA188" i="62"/>
  <c r="AF188" i="62" s="1"/>
  <c r="AA185" i="62"/>
  <c r="AF185" i="62" s="1"/>
  <c r="AD190" i="62"/>
  <c r="AI190" i="62" s="1"/>
  <c r="AA193" i="62"/>
  <c r="AA153" i="62"/>
  <c r="AF153" i="62" s="1"/>
  <c r="AA154" i="62"/>
  <c r="AF154" i="62" s="1"/>
  <c r="AD154" i="62"/>
  <c r="AI154" i="62" s="1"/>
  <c r="AA156" i="62"/>
  <c r="AF156" i="62" s="1"/>
  <c r="AD161" i="62"/>
  <c r="AI161" i="62" s="1"/>
  <c r="AD155" i="62"/>
  <c r="AI155" i="62" s="1"/>
  <c r="AA165" i="62"/>
  <c r="AF165" i="62" s="1"/>
  <c r="AD159" i="62"/>
  <c r="AI159" i="62" s="1"/>
  <c r="AA162" i="62"/>
  <c r="AF162" i="62" s="1"/>
  <c r="AD168" i="62"/>
  <c r="AI168" i="62" s="1"/>
  <c r="AD157" i="62"/>
  <c r="AI157" i="62" s="1"/>
  <c r="AA169" i="62"/>
  <c r="AF169" i="62" s="1"/>
  <c r="AA158" i="62"/>
  <c r="AF158" i="62" s="1"/>
  <c r="AA163" i="62"/>
  <c r="AD139" i="62"/>
  <c r="AI139" i="62" s="1"/>
  <c r="AD147" i="62"/>
  <c r="AI147" i="62" s="1"/>
  <c r="AA132" i="62"/>
  <c r="AF132" i="62" s="1"/>
  <c r="AD145" i="62"/>
  <c r="AI145" i="62" s="1"/>
  <c r="AA141" i="62"/>
  <c r="AF141" i="62" s="1"/>
  <c r="AA137" i="62"/>
  <c r="AF137" i="62" s="1"/>
  <c r="AD134" i="62"/>
  <c r="AI134" i="62" s="1"/>
  <c r="AD141" i="62"/>
  <c r="AI141" i="62" s="1"/>
  <c r="AA140" i="62"/>
  <c r="AF140" i="62" s="1"/>
  <c r="AD146" i="62"/>
  <c r="AI146" i="62" s="1"/>
  <c r="AD143" i="62"/>
  <c r="AI143" i="62" s="1"/>
  <c r="AD137" i="62"/>
  <c r="AA135" i="62"/>
  <c r="AF135" i="62" s="1"/>
  <c r="AD148" i="62"/>
  <c r="AI148" i="62" s="1"/>
  <c r="AA142" i="62"/>
  <c r="AF142" i="62" s="1"/>
  <c r="AA147" i="62"/>
  <c r="AF147" i="62" s="1"/>
  <c r="AA151" i="62"/>
  <c r="AD133" i="62"/>
  <c r="AI133" i="62" s="1"/>
  <c r="AD135" i="62"/>
  <c r="AI135" i="62" s="1"/>
  <c r="AD140" i="62"/>
  <c r="AI140" i="62" s="1"/>
  <c r="AD151" i="62"/>
  <c r="AD103" i="62"/>
  <c r="AI103" i="62" s="1"/>
  <c r="AD99" i="62"/>
  <c r="AI99" i="62" s="1"/>
  <c r="AD92" i="62"/>
  <c r="AI92" i="62" s="1"/>
  <c r="AD96" i="62"/>
  <c r="AI96" i="62" s="1"/>
  <c r="AA103" i="62"/>
  <c r="AF103" i="62" s="1"/>
  <c r="AD100" i="62"/>
  <c r="AI100" i="62" s="1"/>
  <c r="AD90" i="62"/>
  <c r="AI90" i="62" s="1"/>
  <c r="AA104" i="62"/>
  <c r="AF104" i="62" s="1"/>
  <c r="AD104" i="62"/>
  <c r="AI104" i="62" s="1"/>
  <c r="AA99" i="62"/>
  <c r="AF99" i="62" s="1"/>
  <c r="AA109" i="62"/>
  <c r="AA105" i="62"/>
  <c r="AF105" i="62" s="1"/>
  <c r="AD105" i="62"/>
  <c r="AI105" i="62" s="1"/>
  <c r="AD334" i="62"/>
  <c r="AI334" i="62" s="1"/>
  <c r="AA329" i="62"/>
  <c r="AF329" i="62" s="1"/>
  <c r="AD326" i="62"/>
  <c r="AI326" i="62" s="1"/>
  <c r="AD321" i="62"/>
  <c r="AI321" i="62" s="1"/>
  <c r="AD324" i="62"/>
  <c r="AI324" i="62" s="1"/>
  <c r="AA326" i="62"/>
  <c r="AF326" i="62" s="1"/>
  <c r="AD328" i="62"/>
  <c r="AI328" i="62" s="1"/>
  <c r="AA328" i="62"/>
  <c r="AF328" i="62" s="1"/>
  <c r="AA340" i="62"/>
  <c r="AA332" i="62"/>
  <c r="AF332" i="62" s="1"/>
  <c r="AD325" i="62"/>
  <c r="AI325" i="62" s="1"/>
  <c r="AA322" i="62"/>
  <c r="AF322" i="62" s="1"/>
  <c r="AD329" i="62"/>
  <c r="AI329" i="62" s="1"/>
  <c r="AD337" i="62"/>
  <c r="AI337" i="62" s="1"/>
  <c r="AA324" i="62"/>
  <c r="AF324" i="62" s="1"/>
  <c r="AA321" i="62"/>
  <c r="AD340" i="62"/>
  <c r="AA323" i="62"/>
  <c r="AF323" i="62" s="1"/>
  <c r="AD335" i="62"/>
  <c r="AI335" i="62" s="1"/>
  <c r="AA333" i="62"/>
  <c r="AF333" i="62" s="1"/>
  <c r="AD327" i="62"/>
  <c r="AI327" i="62" s="1"/>
  <c r="AD323" i="62"/>
  <c r="AI323" i="62" s="1"/>
  <c r="AA337" i="62"/>
  <c r="AF337" i="62" s="1"/>
  <c r="AD322" i="62"/>
  <c r="AI322" i="62" s="1"/>
  <c r="AD336" i="62"/>
  <c r="AI336" i="62" s="1"/>
  <c r="AD331" i="62"/>
  <c r="AI331" i="62" s="1"/>
  <c r="AA335" i="62"/>
  <c r="AF335" i="62" s="1"/>
  <c r="AD330" i="62"/>
  <c r="AI330" i="62" s="1"/>
  <c r="AD332" i="62"/>
  <c r="AI332" i="62" s="1"/>
  <c r="AD333" i="62"/>
  <c r="AI333" i="62" s="1"/>
  <c r="AA325" i="62"/>
  <c r="AF325" i="62" s="1"/>
  <c r="AA327" i="62"/>
  <c r="AF327" i="62" s="1"/>
  <c r="AA330" i="62"/>
  <c r="AF330" i="62" s="1"/>
  <c r="AC357" i="62"/>
  <c r="AH357" i="62" s="1"/>
  <c r="AC349" i="62"/>
  <c r="AH349" i="62" s="1"/>
  <c r="AC345" i="62"/>
  <c r="AH345" i="62" s="1"/>
  <c r="Z350" i="62"/>
  <c r="AE350" i="62" s="1"/>
  <c r="Z361" i="62"/>
  <c r="Z349" i="62"/>
  <c r="AE349" i="62" s="1"/>
  <c r="Z343" i="62"/>
  <c r="AE343" i="62" s="1"/>
  <c r="Z346" i="62"/>
  <c r="AE346" i="62" s="1"/>
  <c r="AC356" i="62"/>
  <c r="AH356" i="62" s="1"/>
  <c r="Z351" i="62"/>
  <c r="AE351" i="62" s="1"/>
  <c r="Z342" i="62"/>
  <c r="AE342" i="62" s="1"/>
  <c r="Z348" i="62"/>
  <c r="AE348" i="62" s="1"/>
  <c r="AC350" i="62"/>
  <c r="AH350" i="62" s="1"/>
  <c r="AC355" i="62"/>
  <c r="AH355" i="62" s="1"/>
  <c r="AC347" i="62"/>
  <c r="AH347" i="62" s="1"/>
  <c r="AC361" i="62"/>
  <c r="AC353" i="62"/>
  <c r="AH353" i="62" s="1"/>
  <c r="Z353" i="62"/>
  <c r="AE353" i="62" s="1"/>
  <c r="Z357" i="62"/>
  <c r="AE357" i="62" s="1"/>
  <c r="AC354" i="62"/>
  <c r="AH354" i="62" s="1"/>
  <c r="AC352" i="62"/>
  <c r="AH352" i="62" s="1"/>
  <c r="Z347" i="62"/>
  <c r="AE347" i="62" s="1"/>
  <c r="Z355" i="62"/>
  <c r="AE355" i="62" s="1"/>
  <c r="Z356" i="62"/>
  <c r="AE356" i="62" s="1"/>
  <c r="AC344" i="62"/>
  <c r="AH344" i="62" s="1"/>
  <c r="AC351" i="62"/>
  <c r="AH351" i="62" s="1"/>
  <c r="AC346" i="62"/>
  <c r="AH346" i="62" s="1"/>
  <c r="AC348" i="62"/>
  <c r="AH348" i="62" s="1"/>
  <c r="Z358" i="62"/>
  <c r="AE358" i="62" s="1"/>
  <c r="AC358" i="62"/>
  <c r="AH358" i="62" s="1"/>
  <c r="Z352" i="62"/>
  <c r="AE352" i="62" s="1"/>
  <c r="Z345" i="62"/>
  <c r="AE345" i="62" s="1"/>
  <c r="Y194" i="62"/>
  <c r="X194" i="62"/>
  <c r="Z160" i="62"/>
  <c r="AE160" i="62" s="1"/>
  <c r="Z157" i="62"/>
  <c r="AE157" i="62" s="1"/>
  <c r="AC162" i="62"/>
  <c r="AH162" i="62" s="1"/>
  <c r="Z156" i="62"/>
  <c r="AE156" i="62" s="1"/>
  <c r="Z158" i="62"/>
  <c r="AE158" i="62" s="1"/>
  <c r="AC154" i="62"/>
  <c r="AH154" i="62" s="1"/>
  <c r="AC156" i="62"/>
  <c r="AH156" i="62" s="1"/>
  <c r="AC165" i="62"/>
  <c r="AH165" i="62" s="1"/>
  <c r="Z159" i="62"/>
  <c r="AE159" i="62" s="1"/>
  <c r="Z168" i="62"/>
  <c r="AE168" i="62" s="1"/>
  <c r="Z166" i="62"/>
  <c r="AE166" i="62" s="1"/>
  <c r="Z155" i="62"/>
  <c r="AE155" i="62" s="1"/>
  <c r="AC169" i="62"/>
  <c r="AH169" i="62" s="1"/>
  <c r="AC159" i="62"/>
  <c r="AH159" i="62" s="1"/>
  <c r="AC166" i="62"/>
  <c r="AH166" i="62" s="1"/>
  <c r="Z169" i="62"/>
  <c r="AE169" i="62" s="1"/>
  <c r="AC153" i="62"/>
  <c r="AH153" i="62" s="1"/>
  <c r="Z163" i="62"/>
  <c r="AE163" i="62" s="1"/>
  <c r="AC147" i="62"/>
  <c r="AH147" i="62" s="1"/>
  <c r="AC142" i="62"/>
  <c r="AH142" i="62" s="1"/>
  <c r="AC135" i="62"/>
  <c r="AH135" i="62" s="1"/>
  <c r="Z146" i="62"/>
  <c r="AE146" i="62" s="1"/>
  <c r="AC133" i="62"/>
  <c r="AH133" i="62" s="1"/>
  <c r="AC132" i="62"/>
  <c r="AH132" i="62" s="1"/>
  <c r="Z135" i="62"/>
  <c r="AE135" i="62" s="1"/>
  <c r="Z136" i="62"/>
  <c r="AE136" i="62" s="1"/>
  <c r="AC138" i="62"/>
  <c r="AH138" i="62" s="1"/>
  <c r="AC145" i="62"/>
  <c r="AH145" i="62" s="1"/>
  <c r="AC148" i="62"/>
  <c r="AH148" i="62" s="1"/>
  <c r="Z145" i="62"/>
  <c r="AE145" i="62" s="1"/>
  <c r="AC134" i="62"/>
  <c r="AH134" i="62" s="1"/>
  <c r="AC139" i="62"/>
  <c r="AH139" i="62" s="1"/>
  <c r="Z139" i="62"/>
  <c r="AE139" i="62" s="1"/>
  <c r="Z137" i="62"/>
  <c r="AE137" i="62" s="1"/>
  <c r="Z140" i="62"/>
  <c r="AE140" i="62" s="1"/>
  <c r="AC146" i="62"/>
  <c r="AH146" i="62" s="1"/>
  <c r="AC141" i="62"/>
  <c r="AH141" i="62" s="1"/>
  <c r="AC137" i="62"/>
  <c r="AH137" i="62" s="1"/>
  <c r="Z138" i="62"/>
  <c r="AE138" i="62" s="1"/>
  <c r="AC151" i="62"/>
  <c r="Z141" i="62"/>
  <c r="AE141" i="62" s="1"/>
  <c r="Z148" i="62"/>
  <c r="Z133" i="62"/>
  <c r="AE133" i="62" s="1"/>
  <c r="AC140" i="62"/>
  <c r="AH140" i="62" s="1"/>
  <c r="Z142" i="62"/>
  <c r="AE142" i="62" s="1"/>
  <c r="AC130" i="62"/>
  <c r="AC115" i="62"/>
  <c r="AH115" i="62" s="1"/>
  <c r="Z120" i="62"/>
  <c r="AE120" i="62" s="1"/>
  <c r="AC114" i="62"/>
  <c r="AH114" i="62" s="1"/>
  <c r="Z115" i="62"/>
  <c r="AE115" i="62" s="1"/>
  <c r="AC119" i="62"/>
  <c r="AH119" i="62" s="1"/>
  <c r="Z125" i="62"/>
  <c r="AE125" i="62" s="1"/>
  <c r="Z119" i="62"/>
  <c r="AE119" i="62" s="1"/>
  <c r="Z124" i="62"/>
  <c r="AE124" i="62" s="1"/>
  <c r="Z117" i="62"/>
  <c r="AE117" i="62" s="1"/>
  <c r="AC116" i="62"/>
  <c r="AH116" i="62" s="1"/>
  <c r="AC120" i="62"/>
  <c r="AH120" i="62" s="1"/>
  <c r="AC121" i="62"/>
  <c r="AH121" i="62" s="1"/>
  <c r="AC125" i="62"/>
  <c r="AH125" i="62" s="1"/>
  <c r="AC124" i="62"/>
  <c r="AH124" i="62" s="1"/>
  <c r="Z102" i="62"/>
  <c r="AE102" i="62" s="1"/>
  <c r="AC109" i="62"/>
  <c r="AC95" i="62"/>
  <c r="AH95" i="62" s="1"/>
  <c r="AC100" i="62"/>
  <c r="AH100" i="62" s="1"/>
  <c r="Z94" i="62"/>
  <c r="AE94" i="62" s="1"/>
  <c r="AC106" i="62"/>
  <c r="AH106" i="62" s="1"/>
  <c r="AC102" i="62"/>
  <c r="AH102" i="62" s="1"/>
  <c r="AC104" i="62"/>
  <c r="AH104" i="62" s="1"/>
  <c r="AC91" i="62"/>
  <c r="AH91" i="62" s="1"/>
  <c r="Z100" i="62"/>
  <c r="AE100" i="62" s="1"/>
  <c r="Z99" i="62"/>
  <c r="AE99" i="62" s="1"/>
  <c r="E19" i="40"/>
  <c r="L21" i="3" s="1"/>
  <c r="AA112" i="62"/>
  <c r="AF112" i="62" s="1"/>
  <c r="AA113" i="62"/>
  <c r="AF113" i="62" s="1"/>
  <c r="AD119" i="62"/>
  <c r="AI119" i="62" s="1"/>
  <c r="AD113" i="62"/>
  <c r="AI113" i="62" s="1"/>
  <c r="AD114" i="62"/>
  <c r="AI114" i="62" s="1"/>
  <c r="AA122" i="62"/>
  <c r="AF122" i="62" s="1"/>
  <c r="AD123" i="62"/>
  <c r="AI123" i="62" s="1"/>
  <c r="AA125" i="62"/>
  <c r="AF125" i="62" s="1"/>
  <c r="AD117" i="62"/>
  <c r="AI117" i="62" s="1"/>
  <c r="AA120" i="62"/>
  <c r="AF120" i="62" s="1"/>
  <c r="AD130" i="62"/>
  <c r="AA130" i="62"/>
  <c r="AD118" i="62"/>
  <c r="AI118" i="62" s="1"/>
  <c r="AA127" i="62"/>
  <c r="AD120" i="62"/>
  <c r="AI120" i="62" s="1"/>
  <c r="AA126" i="62"/>
  <c r="AF126" i="62" s="1"/>
  <c r="AD111" i="62"/>
  <c r="AI111" i="62" s="1"/>
  <c r="AD127" i="62"/>
  <c r="AA123" i="62"/>
  <c r="AF123" i="62" s="1"/>
  <c r="AD72" i="62"/>
  <c r="AI72" i="62" s="1"/>
  <c r="AD80" i="62"/>
  <c r="AI80" i="62" s="1"/>
  <c r="AA82" i="62"/>
  <c r="AF82" i="62" s="1"/>
  <c r="AD83" i="62"/>
  <c r="AD76" i="62"/>
  <c r="AI76" i="62" s="1"/>
  <c r="AD375" i="62"/>
  <c r="AI375" i="62" s="1"/>
  <c r="AA364" i="62"/>
  <c r="AF364" i="62" s="1"/>
  <c r="AD374" i="62"/>
  <c r="AI374" i="62" s="1"/>
  <c r="AA378" i="62"/>
  <c r="AF378" i="62" s="1"/>
  <c r="AA375" i="62"/>
  <c r="AF375" i="62" s="1"/>
  <c r="AD366" i="62"/>
  <c r="AI366" i="62" s="1"/>
  <c r="AD372" i="62"/>
  <c r="AI372" i="62" s="1"/>
  <c r="AD369" i="62"/>
  <c r="AI369" i="62" s="1"/>
  <c r="AD376" i="62"/>
  <c r="AI376" i="62" s="1"/>
  <c r="AA377" i="62"/>
  <c r="AF377" i="62" s="1"/>
  <c r="AD368" i="62"/>
  <c r="AI368" i="62" s="1"/>
  <c r="AA363" i="62"/>
  <c r="AD365" i="62"/>
  <c r="AI365" i="62" s="1"/>
  <c r="AD379" i="62"/>
  <c r="AI379" i="62" s="1"/>
  <c r="AA369" i="62"/>
  <c r="AF369" i="62" s="1"/>
  <c r="AA365" i="62"/>
  <c r="AF365" i="62" s="1"/>
  <c r="AA371" i="62"/>
  <c r="AF371" i="62" s="1"/>
  <c r="AD382" i="62"/>
  <c r="AA382" i="62"/>
  <c r="AD367" i="62"/>
  <c r="AI367" i="62" s="1"/>
  <c r="AA367" i="62"/>
  <c r="AF367" i="62" s="1"/>
  <c r="AD373" i="62"/>
  <c r="AI373" i="62" s="1"/>
  <c r="AD377" i="62"/>
  <c r="AI377" i="62" s="1"/>
  <c r="AD363" i="62"/>
  <c r="AD364" i="62"/>
  <c r="AI364" i="62" s="1"/>
  <c r="AA372" i="62"/>
  <c r="AF372" i="62" s="1"/>
  <c r="AA373" i="62"/>
  <c r="AF373" i="62" s="1"/>
  <c r="AD371" i="62"/>
  <c r="AI371" i="62" s="1"/>
  <c r="AA374" i="62"/>
  <c r="AF374" i="62" s="1"/>
  <c r="AA376" i="62"/>
  <c r="AF376" i="62" s="1"/>
  <c r="AA368" i="62"/>
  <c r="AF368" i="62" s="1"/>
  <c r="AA366" i="62"/>
  <c r="AF366" i="62" s="1"/>
  <c r="AC390" i="62"/>
  <c r="AH390" i="62" s="1"/>
  <c r="AC399" i="62"/>
  <c r="AH399" i="62" s="1"/>
  <c r="AA405" i="62"/>
  <c r="AD408" i="62"/>
  <c r="AI408" i="62" s="1"/>
  <c r="AD421" i="62"/>
  <c r="AI421" i="62" s="1"/>
  <c r="AA418" i="62"/>
  <c r="AF418" i="62" s="1"/>
  <c r="AA411" i="62"/>
  <c r="AF411" i="62" s="1"/>
  <c r="AD411" i="62"/>
  <c r="AI411" i="62" s="1"/>
  <c r="AA408" i="62"/>
  <c r="AF408" i="62" s="1"/>
  <c r="AD417" i="62"/>
  <c r="AI417" i="62" s="1"/>
  <c r="AA424" i="62"/>
  <c r="AA414" i="62"/>
  <c r="AF414" i="62" s="1"/>
  <c r="AA419" i="62"/>
  <c r="AF419" i="62" s="1"/>
  <c r="AD405" i="62"/>
  <c r="AI405" i="62" s="1"/>
  <c r="AD413" i="62"/>
  <c r="AI413" i="62" s="1"/>
  <c r="AA410" i="62"/>
  <c r="AF410" i="62" s="1"/>
  <c r="AA413" i="62"/>
  <c r="AF413" i="62" s="1"/>
  <c r="AA409" i="62"/>
  <c r="AF409" i="62" s="1"/>
  <c r="AA421" i="62"/>
  <c r="AF421" i="62" s="1"/>
  <c r="AD419" i="62"/>
  <c r="AI419" i="62" s="1"/>
  <c r="AA417" i="62"/>
  <c r="AF417" i="62" s="1"/>
  <c r="AA416" i="62"/>
  <c r="AF416" i="62" s="1"/>
  <c r="AD406" i="62"/>
  <c r="AI406" i="62" s="1"/>
  <c r="AD410" i="62"/>
  <c r="AI410" i="62" s="1"/>
  <c r="AD412" i="62"/>
  <c r="AI412" i="62" s="1"/>
  <c r="AA406" i="62"/>
  <c r="AF406" i="62" s="1"/>
  <c r="AD414" i="62"/>
  <c r="AI414" i="62" s="1"/>
  <c r="AA407" i="62"/>
  <c r="AF407" i="62" s="1"/>
  <c r="AD418" i="62"/>
  <c r="AI418" i="62" s="1"/>
  <c r="AD420" i="62"/>
  <c r="AI420" i="62" s="1"/>
  <c r="AA69" i="62"/>
  <c r="AF69" i="62" s="1"/>
  <c r="AD85" i="62"/>
  <c r="AI85" i="62" s="1"/>
  <c r="AD102" i="62"/>
  <c r="AI102" i="62" s="1"/>
  <c r="Z69" i="62"/>
  <c r="AE69" i="62" s="1"/>
  <c r="AC94" i="62"/>
  <c r="AH94" i="62" s="1"/>
  <c r="Z70" i="62"/>
  <c r="AE70" i="62" s="1"/>
  <c r="AA81" i="62"/>
  <c r="AF81" i="62" s="1"/>
  <c r="AA83" i="62"/>
  <c r="AF83" i="62" s="1"/>
  <c r="Z109" i="62"/>
  <c r="Z208" i="62"/>
  <c r="AE208" i="62" s="1"/>
  <c r="AD409" i="62"/>
  <c r="AI409" i="62" s="1"/>
  <c r="AC127" i="62"/>
  <c r="J19" i="40" s="1"/>
  <c r="L46" i="3" s="1"/>
  <c r="Z228" i="62"/>
  <c r="AE228" i="62" s="1"/>
  <c r="AA160" i="62"/>
  <c r="AF160" i="62" s="1"/>
  <c r="Z97" i="62"/>
  <c r="AE97" i="62" s="1"/>
  <c r="Z103" i="62"/>
  <c r="AE103" i="62" s="1"/>
  <c r="Z188" i="62"/>
  <c r="AE188" i="62" s="1"/>
  <c r="AD378" i="62"/>
  <c r="AI378" i="62" s="1"/>
  <c r="AA241" i="62"/>
  <c r="AF241" i="62" s="1"/>
  <c r="AA242" i="62"/>
  <c r="AF242" i="62" s="1"/>
  <c r="AA237" i="62"/>
  <c r="AF237" i="62" s="1"/>
  <c r="AD242" i="62"/>
  <c r="AI242" i="62" s="1"/>
  <c r="AH253" i="62"/>
  <c r="Z247" i="62"/>
  <c r="AE247" i="62" s="1"/>
  <c r="AA75" i="62"/>
  <c r="AF75" i="62" s="1"/>
  <c r="AC73" i="62"/>
  <c r="AH73" i="62" s="1"/>
  <c r="AC105" i="62"/>
  <c r="AH105" i="62" s="1"/>
  <c r="AC80" i="62"/>
  <c r="AH80" i="62" s="1"/>
  <c r="AD84" i="62"/>
  <c r="AI84" i="62" s="1"/>
  <c r="AD97" i="62"/>
  <c r="AI97" i="62" s="1"/>
  <c r="AD407" i="62"/>
  <c r="AI407" i="62" s="1"/>
  <c r="AC136" i="62"/>
  <c r="AH136" i="62" s="1"/>
  <c r="AC240" i="62"/>
  <c r="AH240" i="62" s="1"/>
  <c r="Z294" i="62"/>
  <c r="AE294" i="62" s="1"/>
  <c r="Z354" i="62"/>
  <c r="AE354" i="62" s="1"/>
  <c r="AA336" i="62"/>
  <c r="AF336" i="62" s="1"/>
  <c r="AD95" i="62"/>
  <c r="AI95" i="62" s="1"/>
  <c r="AA71" i="62"/>
  <c r="AF71" i="62" s="1"/>
  <c r="AC71" i="62"/>
  <c r="AH71" i="62" s="1"/>
  <c r="AA96" i="62"/>
  <c r="AF96" i="62" s="1"/>
  <c r="AC99" i="62"/>
  <c r="AH99" i="62" s="1"/>
  <c r="AD416" i="62"/>
  <c r="AI416" i="62" s="1"/>
  <c r="AA90" i="62"/>
  <c r="AF90" i="62" s="1"/>
  <c r="Z186" i="62"/>
  <c r="AE186" i="62" s="1"/>
  <c r="Z244" i="62"/>
  <c r="AE244" i="62" s="1"/>
  <c r="AC343" i="62"/>
  <c r="AH343" i="62" s="1"/>
  <c r="Z78" i="62"/>
  <c r="AE78" i="62" s="1"/>
  <c r="AD98" i="62"/>
  <c r="AI98" i="62" s="1"/>
  <c r="AA102" i="62"/>
  <c r="AF102" i="62" s="1"/>
  <c r="Z75" i="62"/>
  <c r="AE75" i="62" s="1"/>
  <c r="AD81" i="62"/>
  <c r="AI81" i="62" s="1"/>
  <c r="AD75" i="62"/>
  <c r="AI75" i="62" s="1"/>
  <c r="AA91" i="62"/>
  <c r="AF91" i="62" s="1"/>
  <c r="Z77" i="62"/>
  <c r="AE77" i="62" s="1"/>
  <c r="Z88" i="62"/>
  <c r="Z93" i="62"/>
  <c r="AE93" i="62" s="1"/>
  <c r="AC90" i="62"/>
  <c r="Z76" i="62"/>
  <c r="AE76" i="62" s="1"/>
  <c r="AA88" i="62"/>
  <c r="AD94" i="62"/>
  <c r="AI94" i="62" s="1"/>
  <c r="AC96" i="62"/>
  <c r="AH96" i="62" s="1"/>
  <c r="AA415" i="62"/>
  <c r="AF415" i="62" s="1"/>
  <c r="AD138" i="62"/>
  <c r="AI138" i="62" s="1"/>
  <c r="Z182" i="62"/>
  <c r="AE182" i="62" s="1"/>
  <c r="Z268" i="62"/>
  <c r="AE268" i="62" s="1"/>
  <c r="AA111" i="62"/>
  <c r="AF111" i="62" s="1"/>
  <c r="AA331" i="62"/>
  <c r="AF331" i="62" s="1"/>
  <c r="AA72" i="62"/>
  <c r="AF72" i="62" s="1"/>
  <c r="AC78" i="62"/>
  <c r="AH78" i="62" s="1"/>
  <c r="AC103" i="62"/>
  <c r="AH103" i="62" s="1"/>
  <c r="AD73" i="62"/>
  <c r="AI73" i="62" s="1"/>
  <c r="AD74" i="62"/>
  <c r="AA77" i="62"/>
  <c r="AF77" i="62" s="1"/>
  <c r="AA106" i="62"/>
  <c r="AF106" i="62" s="1"/>
  <c r="Z81" i="62"/>
  <c r="AE81" i="62" s="1"/>
  <c r="AC76" i="62"/>
  <c r="AH76" i="62" s="1"/>
  <c r="Z92" i="62"/>
  <c r="AE92" i="62" s="1"/>
  <c r="Z82" i="62"/>
  <c r="AE82" i="62" s="1"/>
  <c r="AA93" i="62"/>
  <c r="AF93" i="62" s="1"/>
  <c r="AC92" i="62"/>
  <c r="AH92" i="62" s="1"/>
  <c r="AA412" i="62"/>
  <c r="AF412" i="62" s="1"/>
  <c r="AD136" i="62"/>
  <c r="AI136" i="62" s="1"/>
  <c r="Z270" i="62"/>
  <c r="AE270" i="62" s="1"/>
  <c r="AC283" i="62"/>
  <c r="AH283" i="62" s="1"/>
  <c r="AC112" i="62"/>
  <c r="AH112" i="62" s="1"/>
  <c r="AA115" i="62"/>
  <c r="AF115" i="62" s="1"/>
  <c r="AD88" i="62"/>
  <c r="AA76" i="62"/>
  <c r="AF76" i="62" s="1"/>
  <c r="AA94" i="62"/>
  <c r="AF94" i="62" s="1"/>
  <c r="AC85" i="62"/>
  <c r="AH85" i="62" s="1"/>
  <c r="Z98" i="62"/>
  <c r="AE98" i="62" s="1"/>
  <c r="Z106" i="62"/>
  <c r="AE106" i="62" s="1"/>
  <c r="AC81" i="62"/>
  <c r="AH81" i="62" s="1"/>
  <c r="Z74" i="62"/>
  <c r="AE74" i="62" s="1"/>
  <c r="AA70" i="62"/>
  <c r="AF70" i="62" s="1"/>
  <c r="AD424" i="62"/>
  <c r="AD144" i="62"/>
  <c r="AI144" i="62" s="1"/>
  <c r="AD124" i="62"/>
  <c r="AI124" i="62" s="1"/>
  <c r="Z285" i="62"/>
  <c r="AE285" i="62" s="1"/>
  <c r="AC282" i="62"/>
  <c r="AH282" i="62" s="1"/>
  <c r="Z287" i="62"/>
  <c r="AE287" i="62" s="1"/>
  <c r="AC284" i="62"/>
  <c r="AH284" i="62" s="1"/>
  <c r="Z286" i="62"/>
  <c r="AE286" i="62" s="1"/>
  <c r="Z280" i="62"/>
  <c r="AE280" i="62" s="1"/>
  <c r="AC292" i="62"/>
  <c r="AH292" i="62" s="1"/>
  <c r="Z298" i="62"/>
  <c r="AC286" i="62"/>
  <c r="AH286" i="62" s="1"/>
  <c r="AC289" i="62"/>
  <c r="AH289" i="62" s="1"/>
  <c r="Z291" i="62"/>
  <c r="AE291" i="62" s="1"/>
  <c r="Z295" i="62"/>
  <c r="AE295" i="62" s="1"/>
  <c r="AC295" i="62"/>
  <c r="AH295" i="62" s="1"/>
  <c r="Z147" i="62"/>
  <c r="AE147" i="62" s="1"/>
  <c r="Z85" i="62"/>
  <c r="AE85" i="62" s="1"/>
  <c r="AD77" i="62"/>
  <c r="AI77" i="62" s="1"/>
  <c r="AD78" i="62"/>
  <c r="AI78" i="62" s="1"/>
  <c r="AA73" i="62"/>
  <c r="AF73" i="62" s="1"/>
  <c r="AD109" i="62"/>
  <c r="Z71" i="62"/>
  <c r="AE71" i="62" s="1"/>
  <c r="AC88" i="62"/>
  <c r="AC98" i="62"/>
  <c r="AH98" i="62" s="1"/>
  <c r="AC101" i="62"/>
  <c r="AH101" i="62" s="1"/>
  <c r="Z84" i="62"/>
  <c r="AE84" i="62" s="1"/>
  <c r="AC77" i="62"/>
  <c r="AH77" i="62" s="1"/>
  <c r="AA85" i="62"/>
  <c r="AF85" i="62" s="1"/>
  <c r="AA98" i="62"/>
  <c r="AF98" i="62" s="1"/>
  <c r="AA144" i="62"/>
  <c r="AF144" i="62" s="1"/>
  <c r="AA279" i="62"/>
  <c r="AF279" i="62" s="1"/>
  <c r="AA133" i="62"/>
  <c r="AF133" i="62" s="1"/>
  <c r="Z224" i="62"/>
  <c r="AE224" i="62" s="1"/>
  <c r="AC224" i="62"/>
  <c r="AH224" i="62" s="1"/>
  <c r="Z222" i="62"/>
  <c r="AE222" i="62" s="1"/>
  <c r="Z218" i="62"/>
  <c r="AE218" i="62" s="1"/>
  <c r="AC231" i="62"/>
  <c r="AH231" i="62" s="1"/>
  <c r="Z217" i="62"/>
  <c r="AE217" i="62" s="1"/>
  <c r="AC220" i="62"/>
  <c r="AH220" i="62" s="1"/>
  <c r="AC229" i="62"/>
  <c r="AH229" i="62" s="1"/>
  <c r="AC222" i="62"/>
  <c r="AH222" i="62" s="1"/>
  <c r="AC217" i="62"/>
  <c r="AH217" i="62" s="1"/>
  <c r="AC225" i="62"/>
  <c r="AH225" i="62" s="1"/>
  <c r="Z221" i="62"/>
  <c r="AE221" i="62" s="1"/>
  <c r="AC230" i="62"/>
  <c r="AH230" i="62" s="1"/>
  <c r="AC227" i="62"/>
  <c r="AH227" i="62" s="1"/>
  <c r="AC218" i="62"/>
  <c r="AH218" i="62" s="1"/>
  <c r="AC223" i="62"/>
  <c r="AH223" i="62" s="1"/>
  <c r="B22" i="40"/>
  <c r="J24" i="3" s="1"/>
  <c r="AA78" i="62"/>
  <c r="AF78" i="62" s="1"/>
  <c r="AA79" i="62"/>
  <c r="AF79" i="62" s="1"/>
  <c r="AA97" i="62"/>
  <c r="AF97" i="62" s="1"/>
  <c r="Z83" i="62"/>
  <c r="AE83" i="62" s="1"/>
  <c r="AC93" i="62"/>
  <c r="AH93" i="62" s="1"/>
  <c r="Z91" i="62"/>
  <c r="AC75" i="62"/>
  <c r="AH75" i="62" s="1"/>
  <c r="AD79" i="62"/>
  <c r="AI79" i="62" s="1"/>
  <c r="AA101" i="62"/>
  <c r="AF101" i="62" s="1"/>
  <c r="Z187" i="62"/>
  <c r="AE187" i="62" s="1"/>
  <c r="AA138" i="62"/>
  <c r="AF138" i="62" s="1"/>
  <c r="Z293" i="62"/>
  <c r="AE293" i="62" s="1"/>
  <c r="AA181" i="62"/>
  <c r="AF181" i="62" s="1"/>
  <c r="AA370" i="62"/>
  <c r="AF370" i="62" s="1"/>
  <c r="Z105" i="62"/>
  <c r="AE105" i="62" s="1"/>
  <c r="Z101" i="62"/>
  <c r="AE101" i="62" s="1"/>
  <c r="AC74" i="62"/>
  <c r="AH74" i="62" s="1"/>
  <c r="Z72" i="62"/>
  <c r="AE72" i="62" s="1"/>
  <c r="AD70" i="62"/>
  <c r="AI70" i="62" s="1"/>
  <c r="AC248" i="62"/>
  <c r="AH248" i="62" s="1"/>
  <c r="Z132" i="62"/>
  <c r="AE132" i="62" s="1"/>
  <c r="AA148" i="62"/>
  <c r="AF148" i="62" s="1"/>
  <c r="AD263" i="62"/>
  <c r="AI263" i="62" s="1"/>
  <c r="AD272" i="62"/>
  <c r="AI272" i="62" s="1"/>
  <c r="AA272" i="62"/>
  <c r="AF272" i="62" s="1"/>
  <c r="Z273" i="62"/>
  <c r="AE273" i="62" s="1"/>
  <c r="AC277" i="62"/>
  <c r="Z277" i="62"/>
  <c r="AC261" i="62"/>
  <c r="AH261" i="62" s="1"/>
  <c r="Z265" i="62"/>
  <c r="AE265" i="62" s="1"/>
  <c r="AC271" i="62"/>
  <c r="AH271" i="62" s="1"/>
  <c r="AC270" i="62"/>
  <c r="AH270" i="62" s="1"/>
  <c r="Z263" i="62"/>
  <c r="AE263" i="62" s="1"/>
  <c r="Z258" i="62"/>
  <c r="AE258" i="62" s="1"/>
  <c r="AC273" i="62"/>
  <c r="AH273" i="62" s="1"/>
  <c r="AC196" i="62"/>
  <c r="AH196" i="62" s="1"/>
  <c r="AC206" i="62"/>
  <c r="AH206" i="62" s="1"/>
  <c r="Z210" i="62"/>
  <c r="AE210" i="62" s="1"/>
  <c r="Z211" i="62"/>
  <c r="AE211" i="62" s="1"/>
  <c r="Z199" i="62"/>
  <c r="AE199" i="62" s="1"/>
  <c r="Z206" i="62"/>
  <c r="AE206" i="62" s="1"/>
  <c r="Z195" i="62"/>
  <c r="AE195" i="62" s="1"/>
  <c r="Z209" i="62"/>
  <c r="AE209" i="62" s="1"/>
  <c r="AC195" i="62"/>
  <c r="AH195" i="62" s="1"/>
  <c r="AC197" i="62"/>
  <c r="AH197" i="62" s="1"/>
  <c r="Z214" i="62"/>
  <c r="Z198" i="62"/>
  <c r="AE198" i="62" s="1"/>
  <c r="Z201" i="62"/>
  <c r="AE201" i="62" s="1"/>
  <c r="AC210" i="62"/>
  <c r="AH210" i="62" s="1"/>
  <c r="AC198" i="62"/>
  <c r="AH198" i="62" s="1"/>
  <c r="Z207" i="62"/>
  <c r="AE207" i="62" s="1"/>
  <c r="Z205" i="62"/>
  <c r="AE205" i="62" s="1"/>
  <c r="Z202" i="62"/>
  <c r="AE202" i="62" s="1"/>
  <c r="AC202" i="62"/>
  <c r="AH202" i="62" s="1"/>
  <c r="AA100" i="62"/>
  <c r="AF100" i="62" s="1"/>
  <c r="AD93" i="62"/>
  <c r="AI93" i="62" s="1"/>
  <c r="AA95" i="62"/>
  <c r="AF95" i="62" s="1"/>
  <c r="AC83" i="62"/>
  <c r="AH83" i="62" s="1"/>
  <c r="AD69" i="62"/>
  <c r="AI69" i="62" s="1"/>
  <c r="AA80" i="62"/>
  <c r="AF80" i="62" s="1"/>
  <c r="AC69" i="62"/>
  <c r="AH69" i="62" s="1"/>
  <c r="AC97" i="62"/>
  <c r="AH97" i="62" s="1"/>
  <c r="AC72" i="62"/>
  <c r="AH72" i="62" s="1"/>
  <c r="AD71" i="62"/>
  <c r="AI71" i="62" s="1"/>
  <c r="Z104" i="62"/>
  <c r="AE104" i="62" s="1"/>
  <c r="AC144" i="62"/>
  <c r="AH144" i="62" s="1"/>
  <c r="Z111" i="62"/>
  <c r="AE111" i="62" s="1"/>
  <c r="AC214" i="62"/>
  <c r="AD116" i="62"/>
  <c r="AI116" i="62" s="1"/>
  <c r="Z344" i="62"/>
  <c r="AE344" i="62" s="1"/>
  <c r="AC182" i="62"/>
  <c r="AH182" i="62" s="1"/>
  <c r="AA259" i="62"/>
  <c r="AF259" i="62" s="1"/>
  <c r="AE302" i="62"/>
  <c r="F12" i="40"/>
  <c r="M14" i="3" s="1"/>
  <c r="C13" i="40"/>
  <c r="K15" i="3" s="1"/>
  <c r="Y47" i="62"/>
  <c r="AA57" i="62"/>
  <c r="AF57" i="62" s="1"/>
  <c r="E13" i="40"/>
  <c r="L15" i="3" s="1"/>
  <c r="AA334" i="62"/>
  <c r="AF334" i="62" s="1"/>
  <c r="AD273" i="62"/>
  <c r="AI273" i="62" s="1"/>
  <c r="V404" i="62"/>
  <c r="U425" i="62"/>
  <c r="AA200" i="62"/>
  <c r="AF200" i="62" s="1"/>
  <c r="AD174" i="62"/>
  <c r="AI174" i="62" s="1"/>
  <c r="AD166" i="62"/>
  <c r="AI166" i="62" s="1"/>
  <c r="AD106" i="62"/>
  <c r="AI106" i="62" s="1"/>
  <c r="X320" i="62"/>
  <c r="AC342" i="62"/>
  <c r="AH342" i="62" s="1"/>
  <c r="U362" i="62"/>
  <c r="AD370" i="62"/>
  <c r="AI370" i="62" s="1"/>
  <c r="F425" i="62"/>
  <c r="AA293" i="62"/>
  <c r="AF293" i="62" s="1"/>
  <c r="AD261" i="62"/>
  <c r="AI261" i="62" s="1"/>
  <c r="AD240" i="62"/>
  <c r="AI240" i="62" s="1"/>
  <c r="Z290" i="62"/>
  <c r="AE290" i="62" s="1"/>
  <c r="AC269" i="62"/>
  <c r="AH269" i="62" s="1"/>
  <c r="AC243" i="62"/>
  <c r="AH243" i="62" s="1"/>
  <c r="Z216" i="62"/>
  <c r="AE216" i="62" s="1"/>
  <c r="Z203" i="62"/>
  <c r="AE203" i="62" s="1"/>
  <c r="X215" i="62"/>
  <c r="U278" i="62"/>
  <c r="C7" i="40"/>
  <c r="K9" i="3" s="1"/>
  <c r="X299" i="62"/>
  <c r="C8" i="40"/>
  <c r="K10" i="3" s="1"/>
  <c r="U131" i="62"/>
  <c r="V131" i="62"/>
  <c r="X131" i="62"/>
  <c r="Y152" i="62"/>
  <c r="U152" i="62"/>
  <c r="V152" i="62"/>
  <c r="X152" i="62"/>
  <c r="Y173" i="62"/>
  <c r="U194" i="62"/>
  <c r="F18" i="40"/>
  <c r="M20" i="3" s="1"/>
  <c r="Z79" i="62"/>
  <c r="AE79" i="62" s="1"/>
  <c r="Y320" i="62"/>
  <c r="AA305" i="62"/>
  <c r="AF305" i="62" s="1"/>
  <c r="AA217" i="62"/>
  <c r="AF217" i="62" s="1"/>
  <c r="V278" i="62"/>
  <c r="V215" i="62"/>
  <c r="U299" i="62"/>
  <c r="E7" i="40"/>
  <c r="L9" i="3" s="1"/>
  <c r="F8" i="40"/>
  <c r="M10" i="3" s="1"/>
  <c r="F9" i="40"/>
  <c r="M11" i="3" s="1"/>
  <c r="F21" i="3"/>
  <c r="E50" i="3"/>
  <c r="H50" i="3"/>
  <c r="AC19" i="76"/>
  <c r="Z14" i="76"/>
  <c r="Z13" i="76"/>
  <c r="B73" i="3"/>
  <c r="AC25" i="76"/>
  <c r="AC15" i="76"/>
  <c r="AH15" i="76" s="1"/>
  <c r="AC14" i="76"/>
  <c r="AC21" i="76"/>
  <c r="AC16" i="76"/>
  <c r="V26" i="76"/>
  <c r="C36" i="40"/>
  <c r="O15" i="3" s="1"/>
  <c r="AC17" i="76"/>
  <c r="AH17" i="76" s="1"/>
  <c r="Z12" i="76"/>
  <c r="AE12" i="76" s="1"/>
  <c r="AC11" i="76"/>
  <c r="AC20" i="76"/>
  <c r="AH20" i="76" s="1"/>
  <c r="Z18" i="76"/>
  <c r="AC9" i="76"/>
  <c r="AH9" i="76" s="1"/>
  <c r="AC6" i="76"/>
  <c r="Z10" i="76"/>
  <c r="G48" i="3"/>
  <c r="Z25" i="76"/>
  <c r="Z9" i="76"/>
  <c r="AE9" i="76" s="1"/>
  <c r="AC13" i="76"/>
  <c r="AC7" i="76"/>
  <c r="AH7" i="76" s="1"/>
  <c r="Z21" i="76"/>
  <c r="Z16" i="76"/>
  <c r="Z11" i="76"/>
  <c r="Z6" i="76"/>
  <c r="Z19" i="76"/>
  <c r="AE19" i="76" s="1"/>
  <c r="Z17" i="76"/>
  <c r="AE17" i="76" s="1"/>
  <c r="AC12" i="76"/>
  <c r="AH12" i="76" s="1"/>
  <c r="AC8" i="76"/>
  <c r="AC22" i="76"/>
  <c r="Z20" i="76"/>
  <c r="AE20" i="76" s="1"/>
  <c r="AC18" i="76"/>
  <c r="Z15" i="76"/>
  <c r="AE15" i="76" s="1"/>
  <c r="F34" i="40"/>
  <c r="Q13" i="3" s="1"/>
  <c r="AD53" i="62"/>
  <c r="AI53" i="62" s="1"/>
  <c r="AA60" i="62"/>
  <c r="AF60" i="62" s="1"/>
  <c r="AD59" i="62"/>
  <c r="AI59" i="62" s="1"/>
  <c r="AD67" i="62"/>
  <c r="AD55" i="62"/>
  <c r="AI55" i="62" s="1"/>
  <c r="AD58" i="62"/>
  <c r="AI58" i="62" s="1"/>
  <c r="AA51" i="62"/>
  <c r="AF51" i="62" s="1"/>
  <c r="AA59" i="62"/>
  <c r="AF59" i="62" s="1"/>
  <c r="AA64" i="62"/>
  <c r="AF64" i="62" s="1"/>
  <c r="AA53" i="62"/>
  <c r="AF53" i="62" s="1"/>
  <c r="AA54" i="62"/>
  <c r="AF54" i="62" s="1"/>
  <c r="AD51" i="62"/>
  <c r="AI51" i="62" s="1"/>
  <c r="AA63" i="62"/>
  <c r="AF63" i="62" s="1"/>
  <c r="AD49" i="62"/>
  <c r="AI49" i="62" s="1"/>
  <c r="AD52" i="62"/>
  <c r="AI52" i="62" s="1"/>
  <c r="AA61" i="62"/>
  <c r="AF61" i="62" s="1"/>
  <c r="AA48" i="62"/>
  <c r="AF48" i="62" s="1"/>
  <c r="AD62" i="62"/>
  <c r="AI62" i="62" s="1"/>
  <c r="AD64" i="62"/>
  <c r="AI64" i="62" s="1"/>
  <c r="AA52" i="62"/>
  <c r="AF52" i="62" s="1"/>
  <c r="AA55" i="62"/>
  <c r="AF55" i="62" s="1"/>
  <c r="AA56" i="62"/>
  <c r="AF56" i="62" s="1"/>
  <c r="AD61" i="62"/>
  <c r="AI61" i="62" s="1"/>
  <c r="AA50" i="62"/>
  <c r="AF50" i="62" s="1"/>
  <c r="AD48" i="62"/>
  <c r="AI48" i="62" s="1"/>
  <c r="AD54" i="62"/>
  <c r="AI54" i="62" s="1"/>
  <c r="AD63" i="62"/>
  <c r="AI63" i="62" s="1"/>
  <c r="AA67" i="62"/>
  <c r="AD60" i="62"/>
  <c r="AI60" i="62" s="1"/>
  <c r="AD56" i="62"/>
  <c r="AI56" i="62" s="1"/>
  <c r="AD50" i="62"/>
  <c r="AI50" i="62" s="1"/>
  <c r="AD57" i="62"/>
  <c r="AI57" i="62" s="1"/>
  <c r="AA62" i="62"/>
  <c r="AF62" i="62" s="1"/>
  <c r="AA49" i="62"/>
  <c r="AF49" i="62" s="1"/>
  <c r="AC48" i="62"/>
  <c r="AH48" i="62" s="1"/>
  <c r="Y68" i="62"/>
  <c r="C15" i="40"/>
  <c r="K17" i="3" s="1"/>
  <c r="V68" i="62"/>
  <c r="AA35" i="62"/>
  <c r="AF35" i="62" s="1"/>
  <c r="AD41" i="62"/>
  <c r="AI41" i="62" s="1"/>
  <c r="V47" i="62"/>
  <c r="U68" i="62"/>
  <c r="Z58" i="62"/>
  <c r="AE58" i="62" s="1"/>
  <c r="B16" i="40"/>
  <c r="J18" i="3" s="1"/>
  <c r="E16" i="40"/>
  <c r="L18" i="3" s="1"/>
  <c r="Z54" i="62"/>
  <c r="AE54" i="62" s="1"/>
  <c r="Z63" i="62"/>
  <c r="AE63" i="62" s="1"/>
  <c r="AC52" i="62"/>
  <c r="AH52" i="62" s="1"/>
  <c r="AC51" i="62"/>
  <c r="AH51" i="62" s="1"/>
  <c r="Z56" i="62"/>
  <c r="AE56" i="62" s="1"/>
  <c r="E12" i="40"/>
  <c r="L14" i="3" s="1"/>
  <c r="AC42" i="62"/>
  <c r="AH42" i="62" s="1"/>
  <c r="AC58" i="62"/>
  <c r="AH58" i="62" s="1"/>
  <c r="Z61" i="62"/>
  <c r="AE61" i="62" s="1"/>
  <c r="AC59" i="62"/>
  <c r="AH59" i="62" s="1"/>
  <c r="AC61" i="62"/>
  <c r="AH61" i="62" s="1"/>
  <c r="B17" i="40"/>
  <c r="J19" i="3" s="1"/>
  <c r="Z55" i="62"/>
  <c r="AE55" i="62" s="1"/>
  <c r="AC55" i="62"/>
  <c r="AH55" i="62" s="1"/>
  <c r="Z52" i="62"/>
  <c r="AE52" i="62" s="1"/>
  <c r="Z50" i="62"/>
  <c r="AE50" i="62" s="1"/>
  <c r="AC60" i="62"/>
  <c r="AH60" i="62" s="1"/>
  <c r="Z62" i="62"/>
  <c r="AE62" i="62" s="1"/>
  <c r="Z59" i="62"/>
  <c r="AE59" i="62" s="1"/>
  <c r="X68" i="62"/>
  <c r="AC56" i="62"/>
  <c r="AH56" i="62" s="1"/>
  <c r="AC63" i="62"/>
  <c r="AH63" i="62" s="1"/>
  <c r="B20" i="40"/>
  <c r="J22" i="3" s="1"/>
  <c r="Z60" i="62"/>
  <c r="AE60" i="62" s="1"/>
  <c r="AC64" i="62"/>
  <c r="AH64" i="62" s="1"/>
  <c r="Z51" i="62"/>
  <c r="AE51" i="62" s="1"/>
  <c r="AC62" i="62"/>
  <c r="AH62" i="62" s="1"/>
  <c r="Z53" i="62"/>
  <c r="AE53" i="62" s="1"/>
  <c r="AC49" i="62"/>
  <c r="AH49" i="62" s="1"/>
  <c r="Z49" i="62"/>
  <c r="AC57" i="62"/>
  <c r="AH57" i="62" s="1"/>
  <c r="AC53" i="62"/>
  <c r="AH53" i="62" s="1"/>
  <c r="Z48" i="62"/>
  <c r="AE48" i="62" s="1"/>
  <c r="AC67" i="62"/>
  <c r="Z67" i="62"/>
  <c r="AC50" i="62"/>
  <c r="AH50" i="62" s="1"/>
  <c r="AC54" i="62"/>
  <c r="AH54" i="62" s="1"/>
  <c r="Z57" i="62"/>
  <c r="AE57" i="62" s="1"/>
  <c r="Z64" i="62"/>
  <c r="AE64" i="62" s="1"/>
  <c r="AD46" i="62"/>
  <c r="AA36" i="62"/>
  <c r="AF36" i="62" s="1"/>
  <c r="AD40" i="62"/>
  <c r="AI40" i="62" s="1"/>
  <c r="AD34" i="62"/>
  <c r="AI34" i="62" s="1"/>
  <c r="AA33" i="62"/>
  <c r="AF33" i="62" s="1"/>
  <c r="AC36" i="62"/>
  <c r="AH36" i="62" s="1"/>
  <c r="AC32" i="62"/>
  <c r="AH32" i="62" s="1"/>
  <c r="AC28" i="62"/>
  <c r="AH28" i="62" s="1"/>
  <c r="AA38" i="62"/>
  <c r="AF38" i="62" s="1"/>
  <c r="F13" i="40"/>
  <c r="M15" i="3" s="1"/>
  <c r="AD30" i="62"/>
  <c r="AI30" i="62" s="1"/>
  <c r="AD28" i="62"/>
  <c r="AI28" i="62" s="1"/>
  <c r="AD43" i="62"/>
  <c r="AI43" i="62" s="1"/>
  <c r="AD33" i="62"/>
  <c r="AI33" i="62" s="1"/>
  <c r="F11" i="40"/>
  <c r="M13" i="3" s="1"/>
  <c r="AA37" i="62"/>
  <c r="AF37" i="62" s="1"/>
  <c r="AD29" i="62"/>
  <c r="AI29" i="62" s="1"/>
  <c r="AD42" i="62"/>
  <c r="AI42" i="62" s="1"/>
  <c r="AD39" i="62"/>
  <c r="AI39" i="62" s="1"/>
  <c r="AD31" i="62"/>
  <c r="AI31" i="62" s="1"/>
  <c r="AD32" i="62"/>
  <c r="AI32" i="62" s="1"/>
  <c r="AD37" i="62"/>
  <c r="AI37" i="62" s="1"/>
  <c r="AA27" i="62"/>
  <c r="AF27" i="62" s="1"/>
  <c r="AA41" i="62"/>
  <c r="AF41" i="62" s="1"/>
  <c r="AA43" i="62"/>
  <c r="AF43" i="62" s="1"/>
  <c r="AA30" i="62"/>
  <c r="AF30" i="62" s="1"/>
  <c r="AA32" i="62"/>
  <c r="AF32" i="62" s="1"/>
  <c r="AA31" i="62"/>
  <c r="AF31" i="62" s="1"/>
  <c r="AA46" i="62"/>
  <c r="AA34" i="62"/>
  <c r="AF34" i="62" s="1"/>
  <c r="AD38" i="62"/>
  <c r="AI38" i="62" s="1"/>
  <c r="AD36" i="62"/>
  <c r="AI36" i="62" s="1"/>
  <c r="AA42" i="62"/>
  <c r="AF42" i="62" s="1"/>
  <c r="AD35" i="62"/>
  <c r="AI35" i="62" s="1"/>
  <c r="AA40" i="62"/>
  <c r="AF40" i="62" s="1"/>
  <c r="AA28" i="62"/>
  <c r="AF28" i="62" s="1"/>
  <c r="AD27" i="62"/>
  <c r="AI27" i="62" s="1"/>
  <c r="AC38" i="62"/>
  <c r="AH38" i="62" s="1"/>
  <c r="Z43" i="62"/>
  <c r="AE43" i="62" s="1"/>
  <c r="AC43" i="62"/>
  <c r="AH43" i="62" s="1"/>
  <c r="Z46" i="62"/>
  <c r="Z28" i="62"/>
  <c r="AE28" i="62" s="1"/>
  <c r="Z41" i="62"/>
  <c r="AE41" i="62" s="1"/>
  <c r="Z38" i="62"/>
  <c r="AE38" i="62" s="1"/>
  <c r="Z30" i="62"/>
  <c r="AE30" i="62" s="1"/>
  <c r="Z39" i="62"/>
  <c r="AE39" i="62" s="1"/>
  <c r="AC27" i="62"/>
  <c r="AH27" i="62" s="1"/>
  <c r="Z36" i="62"/>
  <c r="AE36" i="62" s="1"/>
  <c r="AC34" i="62"/>
  <c r="AH34" i="62" s="1"/>
  <c r="AC40" i="62"/>
  <c r="AH40" i="62" s="1"/>
  <c r="Z27" i="62"/>
  <c r="AE27" i="62" s="1"/>
  <c r="AC29" i="62"/>
  <c r="AH29" i="62" s="1"/>
  <c r="Z29" i="62"/>
  <c r="AE29" i="62" s="1"/>
  <c r="Z34" i="62"/>
  <c r="AE34" i="62" s="1"/>
  <c r="Z32" i="62"/>
  <c r="AE32" i="62" s="1"/>
  <c r="Z31" i="62"/>
  <c r="AE31" i="62" s="1"/>
  <c r="AC31" i="62"/>
  <c r="AH31" i="62" s="1"/>
  <c r="Z37" i="62"/>
  <c r="AE37" i="62" s="1"/>
  <c r="AC39" i="62"/>
  <c r="AH39" i="62" s="1"/>
  <c r="AC37" i="62"/>
  <c r="AH37" i="62" s="1"/>
  <c r="Z35" i="62"/>
  <c r="AE35" i="62" s="1"/>
  <c r="AC33" i="62"/>
  <c r="AH33" i="62" s="1"/>
  <c r="AC41" i="62"/>
  <c r="AH41" i="62" s="1"/>
  <c r="Z40" i="62"/>
  <c r="AE40" i="62" s="1"/>
  <c r="AC35" i="62"/>
  <c r="AH35" i="62" s="1"/>
  <c r="AC46" i="62"/>
  <c r="Z42" i="62"/>
  <c r="AE42" i="62" s="1"/>
  <c r="B14" i="40"/>
  <c r="J16" i="3" s="1"/>
  <c r="U47" i="62"/>
  <c r="X47" i="62"/>
  <c r="E14" i="40"/>
  <c r="L16" i="3" s="1"/>
  <c r="B13" i="40"/>
  <c r="J15" i="3" s="1"/>
  <c r="E15" i="40"/>
  <c r="L17" i="3" s="1"/>
  <c r="C48" i="3"/>
  <c r="O25" i="3"/>
  <c r="G25" i="3" s="1"/>
  <c r="L48" i="3"/>
  <c r="D48" i="3" s="1"/>
  <c r="AC14" i="62"/>
  <c r="AH14" i="62" s="1"/>
  <c r="Z22" i="62"/>
  <c r="AE22" i="62" s="1"/>
  <c r="Z12" i="62"/>
  <c r="AE12" i="62" s="1"/>
  <c r="AA20" i="62"/>
  <c r="AF20" i="62" s="1"/>
  <c r="AA17" i="62"/>
  <c r="AF17" i="62" s="1"/>
  <c r="AD11" i="62"/>
  <c r="AI11" i="62" s="1"/>
  <c r="E75" i="3"/>
  <c r="AD12" i="62"/>
  <c r="AI12" i="62" s="1"/>
  <c r="AD19" i="62"/>
  <c r="AI19" i="62" s="1"/>
  <c r="AD20" i="62"/>
  <c r="AI20" i="62" s="1"/>
  <c r="AA25" i="62"/>
  <c r="AD21" i="62"/>
  <c r="AI21" i="62" s="1"/>
  <c r="AA22" i="62"/>
  <c r="AA13" i="62"/>
  <c r="AF13" i="62" s="1"/>
  <c r="AA6" i="62"/>
  <c r="AF6" i="62" s="1"/>
  <c r="AA14" i="62"/>
  <c r="AF14" i="62" s="1"/>
  <c r="AA18" i="62"/>
  <c r="AF18" i="62" s="1"/>
  <c r="AA10" i="62"/>
  <c r="AF10" i="62" s="1"/>
  <c r="AA12" i="62"/>
  <c r="AF12" i="62" s="1"/>
  <c r="AD7" i="62"/>
  <c r="AI7" i="62" s="1"/>
  <c r="AD13" i="62"/>
  <c r="AI13" i="62" s="1"/>
  <c r="AD6" i="62"/>
  <c r="AI6" i="62" s="1"/>
  <c r="AD25" i="62"/>
  <c r="AA16" i="62"/>
  <c r="AF16" i="62" s="1"/>
  <c r="AD22" i="62"/>
  <c r="AI22" i="62" s="1"/>
  <c r="AA7" i="62"/>
  <c r="AF7" i="62" s="1"/>
  <c r="AD14" i="62"/>
  <c r="AI14" i="62" s="1"/>
  <c r="AD15" i="62"/>
  <c r="AI15" i="62" s="1"/>
  <c r="AD9" i="62"/>
  <c r="AI9" i="62" s="1"/>
  <c r="AD8" i="62"/>
  <c r="AI8" i="62" s="1"/>
  <c r="AD16" i="62"/>
  <c r="AI16" i="62" s="1"/>
  <c r="AA15" i="62"/>
  <c r="AF15" i="62" s="1"/>
  <c r="AA8" i="62"/>
  <c r="AF8" i="62" s="1"/>
  <c r="AA9" i="62"/>
  <c r="AF9" i="62" s="1"/>
  <c r="AA21" i="62"/>
  <c r="AF21" i="62" s="1"/>
  <c r="AA19" i="62"/>
  <c r="AF19" i="62" s="1"/>
  <c r="AD18" i="62"/>
  <c r="AI18" i="62" s="1"/>
  <c r="AD10" i="62"/>
  <c r="AI10" i="62" s="1"/>
  <c r="AA11" i="62"/>
  <c r="AF11" i="62" s="1"/>
  <c r="F73" i="3"/>
  <c r="D75" i="3"/>
  <c r="Y26" i="62"/>
  <c r="Z21" i="62"/>
  <c r="AE21" i="62" s="1"/>
  <c r="F48" i="3"/>
  <c r="F20" i="40"/>
  <c r="M22" i="3" s="1"/>
  <c r="C75" i="3"/>
  <c r="C73" i="3"/>
  <c r="Z14" i="62"/>
  <c r="AE14" i="62" s="1"/>
  <c r="Z20" i="62"/>
  <c r="AE20" i="62" s="1"/>
  <c r="AC6" i="62"/>
  <c r="AC12" i="62"/>
  <c r="AH12" i="62" s="1"/>
  <c r="Z10" i="62"/>
  <c r="AE10" i="62" s="1"/>
  <c r="AC21" i="62"/>
  <c r="AH21" i="62" s="1"/>
  <c r="Z7" i="62"/>
  <c r="AE7" i="62" s="1"/>
  <c r="Z6" i="62"/>
  <c r="Z13" i="62"/>
  <c r="AE13" i="62" s="1"/>
  <c r="AC20" i="62"/>
  <c r="AH20" i="62" s="1"/>
  <c r="E18" i="40"/>
  <c r="AC8" i="62"/>
  <c r="AH8" i="62" s="1"/>
  <c r="Z17" i="62"/>
  <c r="AE17" i="62" s="1"/>
  <c r="AC13" i="62"/>
  <c r="AH13" i="62" s="1"/>
  <c r="Z9" i="62"/>
  <c r="AE9" i="62" s="1"/>
  <c r="Z15" i="62"/>
  <c r="AE15" i="62" s="1"/>
  <c r="AC16" i="62"/>
  <c r="AH16" i="62" s="1"/>
  <c r="Z19" i="62"/>
  <c r="AE19" i="62" s="1"/>
  <c r="Z18" i="62"/>
  <c r="AE18" i="62" s="1"/>
  <c r="Z11" i="62"/>
  <c r="AE11" i="62" s="1"/>
  <c r="AC19" i="62"/>
  <c r="AH19" i="62" s="1"/>
  <c r="AC15" i="62"/>
  <c r="AH15" i="62" s="1"/>
  <c r="AC25" i="62"/>
  <c r="AC7" i="62"/>
  <c r="AH7" i="62" s="1"/>
  <c r="Z8" i="62"/>
  <c r="AE8" i="62" s="1"/>
  <c r="Z25" i="62"/>
  <c r="AC18" i="62"/>
  <c r="AH18" i="62" s="1"/>
  <c r="Z16" i="62"/>
  <c r="AE16" i="62" s="1"/>
  <c r="AC17" i="62"/>
  <c r="AH17" i="62" s="1"/>
  <c r="AC9" i="62"/>
  <c r="AH9" i="62" s="1"/>
  <c r="U26" i="62"/>
  <c r="AC11" i="62"/>
  <c r="AH11" i="62" s="1"/>
  <c r="AC10" i="62"/>
  <c r="AC22" i="62"/>
  <c r="AH22" i="62" s="1"/>
  <c r="AH90" i="62"/>
  <c r="AI74" i="62"/>
  <c r="AF84" i="62"/>
  <c r="Z226" i="62"/>
  <c r="AE226" i="62" s="1"/>
  <c r="AD220" i="62"/>
  <c r="AI220" i="62" s="1"/>
  <c r="AD247" i="62"/>
  <c r="AI247" i="62" s="1"/>
  <c r="AA291" i="62"/>
  <c r="AF291" i="62" s="1"/>
  <c r="AA178" i="62"/>
  <c r="AF178" i="62" s="1"/>
  <c r="AA209" i="62"/>
  <c r="AF209" i="62" s="1"/>
  <c r="AA229" i="62"/>
  <c r="AF229" i="62" s="1"/>
  <c r="AC279" i="62"/>
  <c r="AA289" i="62"/>
  <c r="AF289" i="62" s="1"/>
  <c r="AD289" i="62"/>
  <c r="AI289" i="62" s="1"/>
  <c r="AC285" i="62"/>
  <c r="AH285" i="62" s="1"/>
  <c r="AC251" i="62"/>
  <c r="AH251" i="62" s="1"/>
  <c r="AA239" i="62"/>
  <c r="AF239" i="62" s="1"/>
  <c r="AA284" i="62"/>
  <c r="AF284" i="62" s="1"/>
  <c r="Z196" i="62"/>
  <c r="AE196" i="62" s="1"/>
  <c r="Z272" i="62"/>
  <c r="AE272" i="62" s="1"/>
  <c r="Z282" i="62"/>
  <c r="AE282" i="62" s="1"/>
  <c r="AC221" i="62"/>
  <c r="AH221" i="62" s="1"/>
  <c r="AC200" i="62"/>
  <c r="AH200" i="62" s="1"/>
  <c r="Z232" i="62"/>
  <c r="AE232" i="62" s="1"/>
  <c r="AC246" i="62"/>
  <c r="AH246" i="62" s="1"/>
  <c r="AC241" i="62"/>
  <c r="Z259" i="62"/>
  <c r="AC272" i="62"/>
  <c r="AH272" i="62" s="1"/>
  <c r="Z292" i="62"/>
  <c r="AE292" i="62" s="1"/>
  <c r="Z283" i="62"/>
  <c r="AE283" i="62" s="1"/>
  <c r="AI137" i="62"/>
  <c r="AA280" i="62"/>
  <c r="AA268" i="62"/>
  <c r="AF268" i="62" s="1"/>
  <c r="AA187" i="62"/>
  <c r="AF187" i="62" s="1"/>
  <c r="K425" i="62"/>
  <c r="AA226" i="62"/>
  <c r="AF226" i="62" s="1"/>
  <c r="AA260" i="62"/>
  <c r="AF260" i="62" s="1"/>
  <c r="AA281" i="62"/>
  <c r="AF281" i="62" s="1"/>
  <c r="Z322" i="62"/>
  <c r="AE322" i="62" s="1"/>
  <c r="AC335" i="62"/>
  <c r="AH335" i="62" s="1"/>
  <c r="Z321" i="62"/>
  <c r="AC330" i="62"/>
  <c r="AH330" i="62" s="1"/>
  <c r="Z329" i="62"/>
  <c r="AE329" i="62" s="1"/>
  <c r="AC336" i="62"/>
  <c r="AH336" i="62" s="1"/>
  <c r="AC326" i="62"/>
  <c r="AH326" i="62" s="1"/>
  <c r="AC325" i="62"/>
  <c r="AH325" i="62" s="1"/>
  <c r="AC332" i="62"/>
  <c r="AH332" i="62" s="1"/>
  <c r="AC324" i="62"/>
  <c r="AH324" i="62" s="1"/>
  <c r="AC321" i="62"/>
  <c r="Z337" i="62"/>
  <c r="AE337" i="62" s="1"/>
  <c r="AA351" i="62"/>
  <c r="AF351" i="62" s="1"/>
  <c r="AA345" i="62"/>
  <c r="AF345" i="62" s="1"/>
  <c r="AA344" i="62"/>
  <c r="AF344" i="62" s="1"/>
  <c r="AD361" i="62"/>
  <c r="AD350" i="62"/>
  <c r="AI350" i="62" s="1"/>
  <c r="AA361" i="62"/>
  <c r="AA356" i="62"/>
  <c r="AF356" i="62" s="1"/>
  <c r="AD349" i="62"/>
  <c r="AI349" i="62" s="1"/>
  <c r="AA355" i="62"/>
  <c r="AF355" i="62" s="1"/>
  <c r="AD348" i="62"/>
  <c r="AI348" i="62" s="1"/>
  <c r="AA357" i="62"/>
  <c r="AF357" i="62" s="1"/>
  <c r="AA349" i="62"/>
  <c r="AF349" i="62" s="1"/>
  <c r="AA353" i="62"/>
  <c r="AF353" i="62" s="1"/>
  <c r="AD356" i="62"/>
  <c r="AI356" i="62" s="1"/>
  <c r="AD342" i="62"/>
  <c r="AD357" i="62"/>
  <c r="AI357" i="62" s="1"/>
  <c r="AA346" i="62"/>
  <c r="AF346" i="62" s="1"/>
  <c r="AA350" i="62"/>
  <c r="AF350" i="62" s="1"/>
  <c r="AA348" i="62"/>
  <c r="AF348" i="62" s="1"/>
  <c r="AA347" i="62"/>
  <c r="AF347" i="62" s="1"/>
  <c r="AD345" i="62"/>
  <c r="AI345" i="62" s="1"/>
  <c r="AD355" i="62"/>
  <c r="AI355" i="62" s="1"/>
  <c r="AD358" i="62"/>
  <c r="AI358" i="62" s="1"/>
  <c r="AD346" i="62"/>
  <c r="AI346" i="62" s="1"/>
  <c r="AD353" i="62"/>
  <c r="AI353" i="62" s="1"/>
  <c r="AA354" i="62"/>
  <c r="AF354" i="62" s="1"/>
  <c r="AA343" i="62"/>
  <c r="AF343" i="62" s="1"/>
  <c r="AD354" i="62"/>
  <c r="AI354" i="62" s="1"/>
  <c r="AD344" i="62"/>
  <c r="AI344" i="62" s="1"/>
  <c r="Z369" i="62"/>
  <c r="AE369" i="62" s="1"/>
  <c r="Z366" i="62"/>
  <c r="AE366" i="62" s="1"/>
  <c r="AC363" i="62"/>
  <c r="AH363" i="62" s="1"/>
  <c r="AC371" i="62"/>
  <c r="AH371" i="62" s="1"/>
  <c r="Z365" i="62"/>
  <c r="AE365" i="62" s="1"/>
  <c r="Z363" i="62"/>
  <c r="AE363" i="62" s="1"/>
  <c r="Z378" i="62"/>
  <c r="AE378" i="62" s="1"/>
  <c r="Z368" i="62"/>
  <c r="AE368" i="62" s="1"/>
  <c r="AC377" i="62"/>
  <c r="AH377" i="62" s="1"/>
  <c r="Z371" i="62"/>
  <c r="AE371" i="62" s="1"/>
  <c r="AC366" i="62"/>
  <c r="AH366" i="62" s="1"/>
  <c r="AD389" i="62"/>
  <c r="AI389" i="62" s="1"/>
  <c r="AD388" i="62"/>
  <c r="AI388" i="62" s="1"/>
  <c r="AA391" i="62"/>
  <c r="AF391" i="62" s="1"/>
  <c r="AD386" i="62"/>
  <c r="AI386" i="62" s="1"/>
  <c r="AA388" i="62"/>
  <c r="AF388" i="62" s="1"/>
  <c r="AA394" i="62"/>
  <c r="AF394" i="62" s="1"/>
  <c r="AD403" i="62"/>
  <c r="AA396" i="62"/>
  <c r="AF396" i="62" s="1"/>
  <c r="AA386" i="62"/>
  <c r="AF386" i="62" s="1"/>
  <c r="AA399" i="62"/>
  <c r="AF399" i="62" s="1"/>
  <c r="AA387" i="62"/>
  <c r="AF387" i="62" s="1"/>
  <c r="AA400" i="62"/>
  <c r="AF400" i="62" s="1"/>
  <c r="AD394" i="62"/>
  <c r="AI394" i="62" s="1"/>
  <c r="AA384" i="62"/>
  <c r="AD387" i="62"/>
  <c r="AI387" i="62" s="1"/>
  <c r="AD395" i="62"/>
  <c r="AI395" i="62" s="1"/>
  <c r="AA395" i="62"/>
  <c r="AF395" i="62" s="1"/>
  <c r="AD391" i="62"/>
  <c r="AI391" i="62" s="1"/>
  <c r="AD385" i="62"/>
  <c r="AD398" i="62"/>
  <c r="AI398" i="62" s="1"/>
  <c r="AE410" i="62"/>
  <c r="AE412" i="62"/>
  <c r="AC406" i="62"/>
  <c r="AH406" i="62" s="1"/>
  <c r="Z418" i="62"/>
  <c r="AE418" i="62" s="1"/>
  <c r="AC407" i="62"/>
  <c r="AH407" i="62" s="1"/>
  <c r="Z419" i="62"/>
  <c r="AE419" i="62" s="1"/>
  <c r="AC408" i="62"/>
  <c r="AH408" i="62" s="1"/>
  <c r="AC414" i="62"/>
  <c r="AH414" i="62" s="1"/>
  <c r="AC424" i="62"/>
  <c r="Z415" i="62"/>
  <c r="AE415" i="62" s="1"/>
  <c r="AC409" i="62"/>
  <c r="AH409" i="62" s="1"/>
  <c r="Z408" i="62"/>
  <c r="AE408" i="62" s="1"/>
  <c r="AC421" i="62"/>
  <c r="AH421" i="62" s="1"/>
  <c r="Z414" i="62"/>
  <c r="AE414" i="62" s="1"/>
  <c r="AC412" i="62"/>
  <c r="AH412" i="62" s="1"/>
  <c r="AC420" i="62"/>
  <c r="AH420" i="62" s="1"/>
  <c r="Z417" i="62"/>
  <c r="AE417" i="62" s="1"/>
  <c r="Z416" i="62"/>
  <c r="AE416" i="62" s="1"/>
  <c r="AE405" i="62"/>
  <c r="AD287" i="62"/>
  <c r="AI287" i="62" s="1"/>
  <c r="AA208" i="62"/>
  <c r="AF208" i="62" s="1"/>
  <c r="AD202" i="62"/>
  <c r="AI202" i="62" s="1"/>
  <c r="AA197" i="62"/>
  <c r="AF197" i="62" s="1"/>
  <c r="AA199" i="62"/>
  <c r="AF199" i="62" s="1"/>
  <c r="AA214" i="62"/>
  <c r="AD208" i="62"/>
  <c r="AI208" i="62" s="1"/>
  <c r="AA206" i="62"/>
  <c r="AF206" i="62" s="1"/>
  <c r="AA201" i="62"/>
  <c r="AF201" i="62" s="1"/>
  <c r="AD205" i="62"/>
  <c r="AI205" i="62" s="1"/>
  <c r="AD203" i="62"/>
  <c r="AI203" i="62" s="1"/>
  <c r="AD198" i="62"/>
  <c r="AI198" i="62" s="1"/>
  <c r="AA198" i="62"/>
  <c r="AF198" i="62" s="1"/>
  <c r="AA196" i="62"/>
  <c r="AF196" i="62" s="1"/>
  <c r="AD195" i="62"/>
  <c r="AA189" i="62"/>
  <c r="AF189" i="62" s="1"/>
  <c r="AA174" i="62"/>
  <c r="AD175" i="62"/>
  <c r="AI175" i="62" s="1"/>
  <c r="AD193" i="62"/>
  <c r="AA183" i="62"/>
  <c r="AA186" i="62"/>
  <c r="AF186" i="62" s="1"/>
  <c r="AD189" i="62"/>
  <c r="AI189" i="62" s="1"/>
  <c r="AA182" i="62"/>
  <c r="AF182" i="62" s="1"/>
  <c r="AD178" i="62"/>
  <c r="AI178" i="62" s="1"/>
  <c r="AD186" i="62"/>
  <c r="AI186" i="62" s="1"/>
  <c r="AD179" i="62"/>
  <c r="AI179" i="62" s="1"/>
  <c r="AD162" i="62"/>
  <c r="AI162" i="62" s="1"/>
  <c r="AA155" i="62"/>
  <c r="AF155" i="62" s="1"/>
  <c r="AD172" i="62"/>
  <c r="AA159" i="62"/>
  <c r="AF159" i="62" s="1"/>
  <c r="AD158" i="62"/>
  <c r="AI158" i="62" s="1"/>
  <c r="AA166" i="62"/>
  <c r="AF166" i="62" s="1"/>
  <c r="AD153" i="62"/>
  <c r="AD169" i="62"/>
  <c r="AD163" i="62"/>
  <c r="AI163" i="62" s="1"/>
  <c r="AA168" i="62"/>
  <c r="AF168" i="62" s="1"/>
  <c r="AA164" i="62"/>
  <c r="AF164" i="62" s="1"/>
  <c r="AA134" i="62"/>
  <c r="AF134" i="62" s="1"/>
  <c r="AA136" i="62"/>
  <c r="AA139" i="62"/>
  <c r="AF139" i="62" s="1"/>
  <c r="AA145" i="62"/>
  <c r="AF145" i="62" s="1"/>
  <c r="AD132" i="62"/>
  <c r="AA146" i="62"/>
  <c r="AF146" i="62" s="1"/>
  <c r="AD142" i="62"/>
  <c r="AI142" i="62" s="1"/>
  <c r="AD121" i="62"/>
  <c r="AI121" i="62" s="1"/>
  <c r="AD125" i="62"/>
  <c r="AI125" i="62" s="1"/>
  <c r="AA117" i="62"/>
  <c r="AD112" i="62"/>
  <c r="AA121" i="62"/>
  <c r="AF121" i="62" s="1"/>
  <c r="AA114" i="62"/>
  <c r="AA116" i="62"/>
  <c r="AD122" i="62"/>
  <c r="AI122" i="62" s="1"/>
  <c r="AA118" i="62"/>
  <c r="AF118" i="62" s="1"/>
  <c r="AA119" i="62"/>
  <c r="AF119" i="62" s="1"/>
  <c r="AD115" i="62"/>
  <c r="AI115" i="62" s="1"/>
  <c r="AD126" i="62"/>
  <c r="AI126" i="62" s="1"/>
  <c r="AC313" i="62"/>
  <c r="AH313" i="62" s="1"/>
  <c r="AC312" i="62"/>
  <c r="AH312" i="62" s="1"/>
  <c r="AC305" i="62"/>
  <c r="AH305" i="62" s="1"/>
  <c r="Z316" i="62"/>
  <c r="AE316" i="62" s="1"/>
  <c r="AC303" i="62"/>
  <c r="AH303" i="62" s="1"/>
  <c r="AC308" i="62"/>
  <c r="AH308" i="62" s="1"/>
  <c r="Z319" i="62"/>
  <c r="Z305" i="62"/>
  <c r="AE305" i="62" s="1"/>
  <c r="AC319" i="62"/>
  <c r="AC307" i="62"/>
  <c r="AH307" i="62" s="1"/>
  <c r="Z307" i="62"/>
  <c r="AE307" i="62" s="1"/>
  <c r="Z313" i="62"/>
  <c r="AE313" i="62" s="1"/>
  <c r="AC315" i="62"/>
  <c r="AH315" i="62" s="1"/>
  <c r="Z311" i="62"/>
  <c r="AE311" i="62" s="1"/>
  <c r="Z312" i="62"/>
  <c r="AE312" i="62" s="1"/>
  <c r="Z310" i="62"/>
  <c r="AE310" i="62" s="1"/>
  <c r="AC314" i="62"/>
  <c r="AH314" i="62" s="1"/>
  <c r="Z300" i="62"/>
  <c r="AC310" i="62"/>
  <c r="AH310" i="62" s="1"/>
  <c r="AC311" i="62"/>
  <c r="AH311" i="62" s="1"/>
  <c r="Z304" i="62"/>
  <c r="AE304" i="62" s="1"/>
  <c r="Z306" i="62"/>
  <c r="AE306" i="62" s="1"/>
  <c r="AD295" i="62"/>
  <c r="AD283" i="62"/>
  <c r="AI283" i="62" s="1"/>
  <c r="AD279" i="62"/>
  <c r="AI279" i="62" s="1"/>
  <c r="AA290" i="62"/>
  <c r="AF290" i="62" s="1"/>
  <c r="AD292" i="62"/>
  <c r="AI292" i="62" s="1"/>
  <c r="AD285" i="62"/>
  <c r="AI285" i="62" s="1"/>
  <c r="AD282" i="62"/>
  <c r="AI282" i="62" s="1"/>
  <c r="AD291" i="62"/>
  <c r="AI291" i="62" s="1"/>
  <c r="AD290" i="62"/>
  <c r="AI290" i="62" s="1"/>
  <c r="AA287" i="62"/>
  <c r="AF287" i="62" s="1"/>
  <c r="AA282" i="62"/>
  <c r="AF282" i="62" s="1"/>
  <c r="AD281" i="62"/>
  <c r="AI281" i="62" s="1"/>
  <c r="AA294" i="62"/>
  <c r="AF294" i="62" s="1"/>
  <c r="AD293" i="62"/>
  <c r="AI293" i="62" s="1"/>
  <c r="AA285" i="62"/>
  <c r="AF285" i="62" s="1"/>
  <c r="AD280" i="62"/>
  <c r="AI280" i="62" s="1"/>
  <c r="AD286" i="62"/>
  <c r="AI286" i="62" s="1"/>
  <c r="AA288" i="62"/>
  <c r="AF288" i="62" s="1"/>
  <c r="AA295" i="62"/>
  <c r="AF295" i="62" s="1"/>
  <c r="AD298" i="62"/>
  <c r="AD260" i="62"/>
  <c r="AI260" i="62" s="1"/>
  <c r="AD265" i="62"/>
  <c r="AI265" i="62" s="1"/>
  <c r="AD274" i="62"/>
  <c r="AI274" i="62" s="1"/>
  <c r="AD269" i="62"/>
  <c r="AI269" i="62" s="1"/>
  <c r="AA264" i="62"/>
  <c r="AF264" i="62" s="1"/>
  <c r="AD259" i="62"/>
  <c r="AI259" i="62" s="1"/>
  <c r="AD271" i="62"/>
  <c r="AI271" i="62" s="1"/>
  <c r="AD264" i="62"/>
  <c r="AI264" i="62" s="1"/>
  <c r="AD267" i="62"/>
  <c r="AI267" i="62" s="1"/>
  <c r="AA262" i="62"/>
  <c r="AF262" i="62" s="1"/>
  <c r="AA271" i="62"/>
  <c r="AF271" i="62" s="1"/>
  <c r="AA270" i="62"/>
  <c r="AF270" i="62" s="1"/>
  <c r="AA258" i="62"/>
  <c r="AA263" i="62"/>
  <c r="AF263" i="62" s="1"/>
  <c r="AD268" i="62"/>
  <c r="AI268" i="62" s="1"/>
  <c r="AA261" i="62"/>
  <c r="AF261" i="62" s="1"/>
  <c r="AA269" i="62"/>
  <c r="AF269" i="62" s="1"/>
  <c r="AA277" i="62"/>
  <c r="AD258" i="62"/>
  <c r="AD266" i="62"/>
  <c r="AI266" i="62" s="1"/>
  <c r="AA274" i="62"/>
  <c r="AF274" i="62" s="1"/>
  <c r="AD270" i="62"/>
  <c r="AI270" i="62" s="1"/>
  <c r="AA273" i="62"/>
  <c r="AF273" i="62" s="1"/>
  <c r="AC293" i="62"/>
  <c r="AH293" i="62" s="1"/>
  <c r="Z284" i="62"/>
  <c r="AE284" i="62" s="1"/>
  <c r="AC290" i="62"/>
  <c r="AH290" i="62" s="1"/>
  <c r="AC267" i="62"/>
  <c r="AH267" i="62" s="1"/>
  <c r="Z261" i="62"/>
  <c r="AE261" i="62" s="1"/>
  <c r="Z266" i="62"/>
  <c r="AE266" i="62" s="1"/>
  <c r="AC242" i="62"/>
  <c r="AH242" i="62" s="1"/>
  <c r="Z241" i="62"/>
  <c r="AE241" i="62" s="1"/>
  <c r="Z223" i="62"/>
  <c r="AE223" i="62" s="1"/>
  <c r="Z229" i="62"/>
  <c r="AE229" i="62" s="1"/>
  <c r="Z230" i="62"/>
  <c r="AE230" i="62" s="1"/>
  <c r="Y131" i="62"/>
  <c r="X173" i="62"/>
  <c r="V194" i="62"/>
  <c r="AC177" i="62"/>
  <c r="AH177" i="62" s="1"/>
  <c r="AC180" i="62"/>
  <c r="AH180" i="62" s="1"/>
  <c r="Z177" i="62"/>
  <c r="AE177" i="62" s="1"/>
  <c r="AC175" i="62"/>
  <c r="AH175" i="62" s="1"/>
  <c r="AC187" i="62"/>
  <c r="AH187" i="62" s="1"/>
  <c r="Z175" i="62"/>
  <c r="AE175" i="62" s="1"/>
  <c r="AC189" i="62"/>
  <c r="AH189" i="62" s="1"/>
  <c r="AC183" i="62"/>
  <c r="Z190" i="62"/>
  <c r="AE190" i="62" s="1"/>
  <c r="Z189" i="62"/>
  <c r="AE189" i="62" s="1"/>
  <c r="AC174" i="62"/>
  <c r="AC176" i="62"/>
  <c r="AH176" i="62" s="1"/>
  <c r="Z181" i="62"/>
  <c r="AE181" i="62" s="1"/>
  <c r="Z174" i="62"/>
  <c r="Z185" i="62"/>
  <c r="AE185" i="62" s="1"/>
  <c r="Z180" i="62"/>
  <c r="AE180" i="62" s="1"/>
  <c r="AC160" i="62"/>
  <c r="AH160" i="62" s="1"/>
  <c r="Z153" i="62"/>
  <c r="AE153" i="62" s="1"/>
  <c r="Z154" i="62"/>
  <c r="AE154" i="62" s="1"/>
  <c r="Z161" i="62"/>
  <c r="AE161" i="62" s="1"/>
  <c r="AC168" i="62"/>
  <c r="AH168" i="62" s="1"/>
  <c r="Z162" i="62"/>
  <c r="AE162" i="62" s="1"/>
  <c r="Z165" i="62"/>
  <c r="AE165" i="62" s="1"/>
  <c r="AC172" i="62"/>
  <c r="AC158" i="62"/>
  <c r="AH158" i="62" s="1"/>
  <c r="Z172" i="62"/>
  <c r="AC157" i="62"/>
  <c r="AH157" i="62" s="1"/>
  <c r="AC164" i="62"/>
  <c r="AH164" i="62" s="1"/>
  <c r="AC163" i="62"/>
  <c r="AH163" i="62" s="1"/>
  <c r="AC155" i="62"/>
  <c r="AC161" i="62"/>
  <c r="AH161" i="62" s="1"/>
  <c r="AC167" i="62"/>
  <c r="AH167" i="62" s="1"/>
  <c r="Z164" i="62"/>
  <c r="AE164" i="62" s="1"/>
  <c r="Z167" i="62"/>
  <c r="AE167" i="62" s="1"/>
  <c r="Z143" i="62"/>
  <c r="AE143" i="62" s="1"/>
  <c r="Z144" i="62"/>
  <c r="AE144" i="62" s="1"/>
  <c r="Z118" i="62"/>
  <c r="AE118" i="62" s="1"/>
  <c r="Z114" i="62"/>
  <c r="AE114" i="62" s="1"/>
  <c r="AC113" i="62"/>
  <c r="AH113" i="62" s="1"/>
  <c r="AC123" i="62"/>
  <c r="AH123" i="62" s="1"/>
  <c r="Z113" i="62"/>
  <c r="AE113" i="62" s="1"/>
  <c r="Z123" i="62"/>
  <c r="AE123" i="62" s="1"/>
  <c r="Z126" i="62"/>
  <c r="AE126" i="62" s="1"/>
  <c r="Z127" i="62"/>
  <c r="Z130" i="62"/>
  <c r="AC118" i="62"/>
  <c r="AH118" i="62" s="1"/>
  <c r="AC117" i="62"/>
  <c r="AH117" i="62" s="1"/>
  <c r="AC122" i="62"/>
  <c r="AH122" i="62" s="1"/>
  <c r="AC126" i="62"/>
  <c r="AH126" i="62" s="1"/>
  <c r="Z121" i="62"/>
  <c r="AE121" i="62" s="1"/>
  <c r="Z112" i="62"/>
  <c r="AE112" i="62" s="1"/>
  <c r="Z122" i="62"/>
  <c r="AE122" i="62" s="1"/>
  <c r="Z116" i="62"/>
  <c r="AE116" i="62" s="1"/>
  <c r="AC111" i="62"/>
  <c r="Z33" i="62"/>
  <c r="AE33" i="62" s="1"/>
  <c r="AC30" i="62"/>
  <c r="AH30" i="62" s="1"/>
  <c r="AD206" i="62"/>
  <c r="AI206" i="62" s="1"/>
  <c r="AD182" i="62"/>
  <c r="AI182" i="62" s="1"/>
  <c r="AA161" i="62"/>
  <c r="AF161" i="62" s="1"/>
  <c r="AA143" i="62"/>
  <c r="AF143" i="62" s="1"/>
  <c r="AA124" i="62"/>
  <c r="AF124" i="62" s="1"/>
  <c r="AD91" i="62"/>
  <c r="Z333" i="62"/>
  <c r="AE333" i="62" s="1"/>
  <c r="AD225" i="62"/>
  <c r="AI225" i="62" s="1"/>
  <c r="AA228" i="62"/>
  <c r="AF228" i="62" s="1"/>
  <c r="AD216" i="62"/>
  <c r="AI216" i="62" s="1"/>
  <c r="AA219" i="62"/>
  <c r="AF219" i="62" s="1"/>
  <c r="AA221" i="62"/>
  <c r="AF221" i="62" s="1"/>
  <c r="AA225" i="62"/>
  <c r="AF225" i="62" s="1"/>
  <c r="AA231" i="62"/>
  <c r="AF231" i="62" s="1"/>
  <c r="AD217" i="62"/>
  <c r="AI217" i="62" s="1"/>
  <c r="AD222" i="62"/>
  <c r="AI222" i="62" s="1"/>
  <c r="AD228" i="62"/>
  <c r="AI228" i="62" s="1"/>
  <c r="AD218" i="62"/>
  <c r="AI218" i="62" s="1"/>
  <c r="AD229" i="62"/>
  <c r="AI229" i="62" s="1"/>
  <c r="AD232" i="62"/>
  <c r="AI232" i="62" s="1"/>
  <c r="AD230" i="62"/>
  <c r="AI230" i="62" s="1"/>
  <c r="AD223" i="62"/>
  <c r="AI223" i="62" s="1"/>
  <c r="AA223" i="62"/>
  <c r="AF223" i="62" s="1"/>
  <c r="AD235" i="62"/>
  <c r="AD231" i="62"/>
  <c r="AI231" i="62" s="1"/>
  <c r="AD224" i="62"/>
  <c r="AI224" i="62" s="1"/>
  <c r="AA224" i="62"/>
  <c r="AF224" i="62" s="1"/>
  <c r="AA227" i="62"/>
  <c r="AF227" i="62" s="1"/>
  <c r="AA216" i="62"/>
  <c r="AD221" i="62"/>
  <c r="AI221" i="62" s="1"/>
  <c r="AA222" i="62"/>
  <c r="AF222" i="62" s="1"/>
  <c r="AD219" i="62"/>
  <c r="AI219" i="62" s="1"/>
  <c r="AD227" i="62"/>
  <c r="AI227" i="62" s="1"/>
  <c r="AA218" i="62"/>
  <c r="AF218" i="62" s="1"/>
  <c r="AA235" i="62"/>
  <c r="Y278" i="62"/>
  <c r="Y257" i="62"/>
  <c r="Y236" i="62"/>
  <c r="X278" i="62"/>
  <c r="V299" i="62"/>
  <c r="V257" i="62"/>
  <c r="U257" i="62"/>
  <c r="C9" i="40"/>
  <c r="K11" i="3" s="1"/>
  <c r="Z134" i="62"/>
  <c r="AE134" i="62" s="1"/>
  <c r="Z253" i="62"/>
  <c r="AE253" i="62" s="1"/>
  <c r="Z197" i="62"/>
  <c r="AE197" i="62" s="1"/>
  <c r="AC211" i="62"/>
  <c r="AH211" i="62" s="1"/>
  <c r="Z231" i="62"/>
  <c r="AE231" i="62" s="1"/>
  <c r="Z242" i="62"/>
  <c r="AE242" i="62" s="1"/>
  <c r="Z246" i="62"/>
  <c r="AE246" i="62" s="1"/>
  <c r="AC265" i="62"/>
  <c r="AH265" i="62" s="1"/>
  <c r="Z288" i="62"/>
  <c r="AE288" i="62" s="1"/>
  <c r="AA265" i="62"/>
  <c r="AF265" i="62" s="1"/>
  <c r="AC204" i="62"/>
  <c r="AH204" i="62" s="1"/>
  <c r="AA220" i="62"/>
  <c r="AF220" i="62" s="1"/>
  <c r="AC260" i="62"/>
  <c r="AH260" i="62" s="1"/>
  <c r="AD244" i="62"/>
  <c r="AI244" i="62" s="1"/>
  <c r="AA266" i="62"/>
  <c r="AF266" i="62" s="1"/>
  <c r="Z248" i="62"/>
  <c r="AE248" i="62" s="1"/>
  <c r="Z227" i="62"/>
  <c r="AE227" i="62" s="1"/>
  <c r="AC203" i="62"/>
  <c r="AH203" i="62" s="1"/>
  <c r="AC199" i="62"/>
  <c r="AH199" i="62" s="1"/>
  <c r="AC235" i="62"/>
  <c r="AC232" i="62"/>
  <c r="AH232" i="62" s="1"/>
  <c r="Z220" i="62"/>
  <c r="AE220" i="62" s="1"/>
  <c r="Z245" i="62"/>
  <c r="AE245" i="62" s="1"/>
  <c r="AC249" i="62"/>
  <c r="AH249" i="62" s="1"/>
  <c r="Z256" i="62"/>
  <c r="AC258" i="62"/>
  <c r="AC291" i="62"/>
  <c r="AH291" i="62" s="1"/>
  <c r="Z289" i="62"/>
  <c r="AE289" i="62" s="1"/>
  <c r="AA298" i="62"/>
  <c r="AD239" i="62"/>
  <c r="AI239" i="62" s="1"/>
  <c r="V173" i="62"/>
  <c r="AA230" i="62"/>
  <c r="AF230" i="62" s="1"/>
  <c r="AC294" i="62"/>
  <c r="AH294" i="62" s="1"/>
  <c r="AA267" i="62"/>
  <c r="AF267" i="62" s="1"/>
  <c r="AA39" i="62"/>
  <c r="AF39" i="62" s="1"/>
  <c r="AC226" i="62"/>
  <c r="AH226" i="62" s="1"/>
  <c r="AC207" i="62"/>
  <c r="AH207" i="62" s="1"/>
  <c r="Z225" i="62"/>
  <c r="AE225" i="62" s="1"/>
  <c r="Z235" i="62"/>
  <c r="AC263" i="62"/>
  <c r="AH263" i="62" s="1"/>
  <c r="Z281" i="62"/>
  <c r="AE281" i="62" s="1"/>
  <c r="AC281" i="62"/>
  <c r="AH281" i="62" s="1"/>
  <c r="AA292" i="62"/>
  <c r="AF292" i="62" s="1"/>
  <c r="AC252" i="62"/>
  <c r="AH252" i="62" s="1"/>
  <c r="AD288" i="62"/>
  <c r="AI288" i="62" s="1"/>
  <c r="AA243" i="62"/>
  <c r="AF243" i="62" s="1"/>
  <c r="AD277" i="62"/>
  <c r="AC298" i="62"/>
  <c r="Z279" i="62"/>
  <c r="AC287" i="62"/>
  <c r="AH287" i="62" s="1"/>
  <c r="AC201" i="62"/>
  <c r="AH201" i="62" s="1"/>
  <c r="AD262" i="62"/>
  <c r="AI262" i="62" s="1"/>
  <c r="AA253" i="62"/>
  <c r="AF253" i="62" s="1"/>
  <c r="Z260" i="62"/>
  <c r="AE260" i="62" s="1"/>
  <c r="AC205" i="62"/>
  <c r="AH205" i="62" s="1"/>
  <c r="X257" i="62"/>
  <c r="V236" i="62"/>
  <c r="AC216" i="62"/>
  <c r="AC228" i="62"/>
  <c r="AH228" i="62" s="1"/>
  <c r="AC245" i="62"/>
  <c r="AH245" i="62" s="1"/>
  <c r="AC268" i="62"/>
  <c r="AH268" i="62" s="1"/>
  <c r="AC288" i="62"/>
  <c r="AH288" i="62" s="1"/>
  <c r="AA286" i="62"/>
  <c r="AF286" i="62" s="1"/>
  <c r="Z264" i="62"/>
  <c r="AE264" i="62" s="1"/>
  <c r="AA232" i="62"/>
  <c r="AF232" i="62" s="1"/>
  <c r="AD294" i="62"/>
  <c r="AI294" i="62" s="1"/>
  <c r="AC143" i="62"/>
  <c r="AH143" i="62" s="1"/>
  <c r="AD243" i="62"/>
  <c r="AI243" i="62" s="1"/>
  <c r="Z262" i="62"/>
  <c r="AE262" i="62" s="1"/>
  <c r="AC266" i="62"/>
  <c r="AH266" i="62" s="1"/>
  <c r="AA251" i="62"/>
  <c r="AF251" i="62" s="1"/>
  <c r="AD252" i="62"/>
  <c r="AI252" i="62" s="1"/>
  <c r="AD197" i="62"/>
  <c r="AI197" i="62" s="1"/>
  <c r="Z151" i="62"/>
  <c r="AD211" i="62"/>
  <c r="AI211" i="62" s="1"/>
  <c r="AD160" i="62"/>
  <c r="AI160" i="62" s="1"/>
  <c r="AD183" i="62"/>
  <c r="AI183" i="62" s="1"/>
  <c r="AD214" i="62"/>
  <c r="AA210" i="62"/>
  <c r="AF210" i="62" s="1"/>
  <c r="Y299" i="62"/>
  <c r="F14" i="40"/>
  <c r="M16" i="3" s="1"/>
  <c r="F22" i="40"/>
  <c r="M24" i="3" s="1"/>
  <c r="AC329" i="62"/>
  <c r="AH329" i="62" s="1"/>
  <c r="Z204" i="62"/>
  <c r="AE204" i="62" s="1"/>
  <c r="Z267" i="62"/>
  <c r="AE267" i="62" s="1"/>
  <c r="AA249" i="62"/>
  <c r="AF249" i="62" s="1"/>
  <c r="AD253" i="62"/>
  <c r="AI253" i="62" s="1"/>
  <c r="AA240" i="62"/>
  <c r="AF240" i="62" s="1"/>
  <c r="AA211" i="62"/>
  <c r="AF211" i="62" s="1"/>
  <c r="Z328" i="62"/>
  <c r="AE328" i="62" s="1"/>
  <c r="AC208" i="62"/>
  <c r="AH208" i="62" s="1"/>
  <c r="Z271" i="62"/>
  <c r="AE271" i="62" s="1"/>
  <c r="AD256" i="62"/>
  <c r="AD165" i="62"/>
  <c r="AI165" i="62" s="1"/>
  <c r="AA308" i="62"/>
  <c r="AC264" i="62"/>
  <c r="AH264" i="62" s="1"/>
  <c r="Z269" i="62"/>
  <c r="AE269" i="62" s="1"/>
  <c r="AD246" i="62"/>
  <c r="AI246" i="62" s="1"/>
  <c r="AD249" i="62"/>
  <c r="AI249" i="62" s="1"/>
  <c r="AA245" i="62"/>
  <c r="AF245" i="62" s="1"/>
  <c r="AD209" i="62"/>
  <c r="AI209" i="62" s="1"/>
  <c r="AA238" i="62"/>
  <c r="AF238" i="62" s="1"/>
  <c r="AD207" i="62"/>
  <c r="AI207" i="62" s="1"/>
  <c r="AA177" i="62"/>
  <c r="AF177" i="62" s="1"/>
  <c r="Z330" i="62"/>
  <c r="AE330" i="62" s="1"/>
  <c r="Y215" i="62"/>
  <c r="Z274" i="62"/>
  <c r="AE274" i="62" s="1"/>
  <c r="AD250" i="62"/>
  <c r="AI250" i="62" s="1"/>
  <c r="AA250" i="62"/>
  <c r="AF250" i="62" s="1"/>
  <c r="AD187" i="62"/>
  <c r="AI187" i="62" s="1"/>
  <c r="AD188" i="62"/>
  <c r="AI188" i="62" s="1"/>
  <c r="AA202" i="62"/>
  <c r="AF202" i="62" s="1"/>
  <c r="AD185" i="62"/>
  <c r="AI185" i="62" s="1"/>
  <c r="AD196" i="62"/>
  <c r="AI196" i="62" s="1"/>
  <c r="AA204" i="62"/>
  <c r="AF204" i="62" s="1"/>
  <c r="AD167" i="62"/>
  <c r="AI167" i="62" s="1"/>
  <c r="AA157" i="62"/>
  <c r="AF157" i="62" s="1"/>
  <c r="E22" i="40"/>
  <c r="L24" i="3" s="1"/>
  <c r="Z367" i="62"/>
  <c r="AA390" i="62"/>
  <c r="AF390" i="62" s="1"/>
  <c r="AD241" i="62"/>
  <c r="AI241" i="62" s="1"/>
  <c r="AC274" i="62"/>
  <c r="AH274" i="62" s="1"/>
  <c r="AC259" i="62"/>
  <c r="AH259" i="62" s="1"/>
  <c r="AA246" i="62"/>
  <c r="AF246" i="62" s="1"/>
  <c r="AD237" i="62"/>
  <c r="AD245" i="62"/>
  <c r="AI245" i="62" s="1"/>
  <c r="AA172" i="62"/>
  <c r="AA207" i="62"/>
  <c r="AF207" i="62" s="1"/>
  <c r="C14" i="40"/>
  <c r="K16" i="3" s="1"/>
  <c r="U404" i="62"/>
  <c r="AC393" i="62"/>
  <c r="AH393" i="62" s="1"/>
  <c r="AA252" i="62"/>
  <c r="AF252" i="62" s="1"/>
  <c r="AA248" i="62"/>
  <c r="AF248" i="62" s="1"/>
  <c r="AD164" i="62"/>
  <c r="AI164" i="62" s="1"/>
  <c r="AD156" i="62"/>
  <c r="AI156" i="62" s="1"/>
  <c r="AA244" i="62"/>
  <c r="AF244" i="62" s="1"/>
  <c r="Z96" i="62"/>
  <c r="AE96" i="62" s="1"/>
  <c r="L13" i="40" s="1"/>
  <c r="AD248" i="62"/>
  <c r="AI248" i="62" s="1"/>
  <c r="AA247" i="62"/>
  <c r="AF247" i="62" s="1"/>
  <c r="AD251" i="62"/>
  <c r="AI251" i="62" s="1"/>
  <c r="V89" i="62"/>
  <c r="AA256" i="62"/>
  <c r="AD238" i="62"/>
  <c r="AI238" i="62" s="1"/>
  <c r="AA167" i="62"/>
  <c r="AF167" i="62" s="1"/>
  <c r="AA195" i="62"/>
  <c r="AD352" i="62"/>
  <c r="AI352" i="62" s="1"/>
  <c r="E48" i="3"/>
  <c r="I48" i="3"/>
  <c r="D25" i="3"/>
  <c r="H25" i="3"/>
  <c r="B25" i="3"/>
  <c r="F25" i="3"/>
  <c r="H23" i="3"/>
  <c r="D23" i="3"/>
  <c r="V23" i="3" s="1"/>
  <c r="C50" i="3"/>
  <c r="G50" i="3"/>
  <c r="C23" i="3"/>
  <c r="G23" i="3"/>
  <c r="H73" i="3"/>
  <c r="D73" i="3"/>
  <c r="V26" i="62"/>
  <c r="Q25" i="3"/>
  <c r="E25" i="3" s="1"/>
  <c r="E17" i="40"/>
  <c r="L19" i="3" s="1"/>
  <c r="C12" i="40"/>
  <c r="K14" i="3" s="1"/>
  <c r="AE91" i="62"/>
  <c r="AE70" i="76"/>
  <c r="O60" i="40"/>
  <c r="T66" i="3" s="1"/>
  <c r="AE425" i="76"/>
  <c r="AF323" i="76"/>
  <c r="AH392" i="76"/>
  <c r="AH404" i="76" s="1"/>
  <c r="AF425" i="75"/>
  <c r="AE131" i="75"/>
  <c r="AA425" i="75"/>
  <c r="H59" i="40"/>
  <c r="S40" i="3" s="1"/>
  <c r="AF411" i="75"/>
  <c r="M59" i="40" s="1"/>
  <c r="S65" i="3" s="1"/>
  <c r="AI295" i="62"/>
  <c r="AH6" i="75"/>
  <c r="AI47" i="75"/>
  <c r="AE47" i="75"/>
  <c r="AH375" i="62"/>
  <c r="AE148" i="62"/>
  <c r="AF163" i="62"/>
  <c r="J53" i="40"/>
  <c r="T34" i="3" s="1"/>
  <c r="AF110" i="75"/>
  <c r="AF378" i="76"/>
  <c r="AC131" i="75"/>
  <c r="AH29" i="75"/>
  <c r="AH47" i="75" s="1"/>
  <c r="AC47" i="75"/>
  <c r="AF47" i="75"/>
  <c r="AD110" i="75"/>
  <c r="AI98" i="75"/>
  <c r="AI110" i="75" s="1"/>
  <c r="Z131" i="75"/>
  <c r="AH131" i="75"/>
  <c r="AI259" i="75"/>
  <c r="AA89" i="75"/>
  <c r="Z278" i="75"/>
  <c r="K66" i="40"/>
  <c r="U47" i="3" s="1"/>
  <c r="M62" i="40"/>
  <c r="S68" i="3" s="1"/>
  <c r="AF180" i="62"/>
  <c r="AF236" i="75"/>
  <c r="Z68" i="75"/>
  <c r="AE127" i="75"/>
  <c r="L65" i="40" s="1"/>
  <c r="R71" i="3" s="1"/>
  <c r="AE239" i="62"/>
  <c r="H61" i="40"/>
  <c r="S42" i="3" s="1"/>
  <c r="AF98" i="75"/>
  <c r="M61" i="40" s="1"/>
  <c r="S67" i="3" s="1"/>
  <c r="AH341" i="75"/>
  <c r="AE48" i="75"/>
  <c r="Z384" i="62"/>
  <c r="AF342" i="62"/>
  <c r="AH97" i="75"/>
  <c r="AC110" i="75"/>
  <c r="AH143" i="75"/>
  <c r="AC152" i="75"/>
  <c r="M58" i="40"/>
  <c r="S64" i="3" s="1"/>
  <c r="AC299" i="68"/>
  <c r="AH295" i="68"/>
  <c r="AH299" i="68" s="1"/>
  <c r="AC384" i="62"/>
  <c r="AC385" i="62"/>
  <c r="AC403" i="62"/>
  <c r="Z399" i="62"/>
  <c r="Z390" i="62"/>
  <c r="AE390" i="62" s="1"/>
  <c r="AC397" i="62"/>
  <c r="AH397" i="62" s="1"/>
  <c r="Z393" i="62"/>
  <c r="AC395" i="62"/>
  <c r="AH395" i="62" s="1"/>
  <c r="K53" i="40"/>
  <c r="U34" i="3" s="1"/>
  <c r="M56" i="40"/>
  <c r="S62" i="3" s="1"/>
  <c r="Z392" i="62"/>
  <c r="AE392" i="62" s="1"/>
  <c r="AC388" i="62"/>
  <c r="AH388" i="62" s="1"/>
  <c r="Z395" i="62"/>
  <c r="AE395" i="62" s="1"/>
  <c r="Z391" i="62"/>
  <c r="Z386" i="62"/>
  <c r="Z397" i="62"/>
  <c r="AE397" i="62" s="1"/>
  <c r="Z26" i="68"/>
  <c r="Z400" i="62"/>
  <c r="AE400" i="62" s="1"/>
  <c r="AC394" i="62"/>
  <c r="Z389" i="62"/>
  <c r="AC392" i="62"/>
  <c r="AC386" i="62"/>
  <c r="AH386" i="62" s="1"/>
  <c r="Z398" i="62"/>
  <c r="AE398" i="62" s="1"/>
  <c r="Z394" i="62"/>
  <c r="AE394" i="62" s="1"/>
  <c r="AC387" i="62"/>
  <c r="Z388" i="62"/>
  <c r="Z385" i="62"/>
  <c r="AE385" i="62" s="1"/>
  <c r="Z387" i="62"/>
  <c r="AD152" i="75"/>
  <c r="AI140" i="75"/>
  <c r="AI152" i="75" s="1"/>
  <c r="AC404" i="75"/>
  <c r="AC396" i="62"/>
  <c r="AC398" i="62"/>
  <c r="AH398" i="62" s="1"/>
  <c r="AC391" i="62"/>
  <c r="AF284" i="75"/>
  <c r="AA299" i="75"/>
  <c r="AE26" i="68"/>
  <c r="AC389" i="62"/>
  <c r="AH389" i="62" s="1"/>
  <c r="AC400" i="62"/>
  <c r="AH400" i="62" s="1"/>
  <c r="Z403" i="62"/>
  <c r="AF299" i="75"/>
  <c r="AH299" i="75"/>
  <c r="AE152" i="68"/>
  <c r="AH362" i="68"/>
  <c r="AH131" i="68"/>
  <c r="AH152" i="75"/>
  <c r="K56" i="40"/>
  <c r="U37" i="3" s="1"/>
  <c r="AH68" i="68"/>
  <c r="AH242" i="68"/>
  <c r="AC257" i="68"/>
  <c r="AF92" i="68"/>
  <c r="K63" i="40"/>
  <c r="U44" i="3" s="1"/>
  <c r="AE89" i="68"/>
  <c r="AE111" i="68"/>
  <c r="AE131" i="68" s="1"/>
  <c r="Z131" i="68"/>
  <c r="AE139" i="68"/>
  <c r="Z152" i="68"/>
  <c r="AH110" i="75"/>
  <c r="AE299" i="68"/>
  <c r="AC89" i="68"/>
  <c r="AH69" i="68"/>
  <c r="AH89" i="68" s="1"/>
  <c r="AE110" i="68"/>
  <c r="AH110" i="68"/>
  <c r="H65" i="40"/>
  <c r="S46" i="3" s="1"/>
  <c r="AC152" i="68"/>
  <c r="AE153" i="68"/>
  <c r="AH175" i="68"/>
  <c r="AC362" i="68"/>
  <c r="AH345" i="68"/>
  <c r="AF158" i="68"/>
  <c r="V173" i="68"/>
  <c r="AC168" i="68"/>
  <c r="AH168" i="68" s="1"/>
  <c r="AC160" i="68"/>
  <c r="AH160" i="68" s="1"/>
  <c r="AC167" i="68"/>
  <c r="AH167" i="68" s="1"/>
  <c r="Z163" i="68"/>
  <c r="AE163" i="68" s="1"/>
  <c r="AC163" i="68"/>
  <c r="AH163" i="68" s="1"/>
  <c r="AC164" i="68"/>
  <c r="AH164" i="68" s="1"/>
  <c r="Z166" i="68"/>
  <c r="AE166" i="68" s="1"/>
  <c r="Z157" i="68"/>
  <c r="AE157" i="68" s="1"/>
  <c r="AC161" i="68"/>
  <c r="AH161" i="68" s="1"/>
  <c r="AC153" i="68"/>
  <c r="Z168" i="68"/>
  <c r="AE168" i="68" s="1"/>
  <c r="AC162" i="68"/>
  <c r="AH162" i="68" s="1"/>
  <c r="Z154" i="68"/>
  <c r="AE154" i="68" s="1"/>
  <c r="Z167" i="68"/>
  <c r="AE167" i="68" s="1"/>
  <c r="AC158" i="68"/>
  <c r="AH158" i="68" s="1"/>
  <c r="Z160" i="68"/>
  <c r="AE160" i="68" s="1"/>
  <c r="V194" i="68"/>
  <c r="AC176" i="68"/>
  <c r="AH176" i="68" s="1"/>
  <c r="AC180" i="68"/>
  <c r="AH180" i="68" s="1"/>
  <c r="Z175" i="68"/>
  <c r="AE175" i="68" s="1"/>
  <c r="Z190" i="68"/>
  <c r="AE190" i="68" s="1"/>
  <c r="AC183" i="68"/>
  <c r="AH183" i="68" s="1"/>
  <c r="Z180" i="68"/>
  <c r="AE180" i="68" s="1"/>
  <c r="AC186" i="68"/>
  <c r="AH186" i="68" s="1"/>
  <c r="AC184" i="68"/>
  <c r="AH184" i="68" s="1"/>
  <c r="AC181" i="68"/>
  <c r="AH181" i="68" s="1"/>
  <c r="Z187" i="68"/>
  <c r="AE187" i="68" s="1"/>
  <c r="AC179" i="68"/>
  <c r="AH179" i="68" s="1"/>
  <c r="Z188" i="68"/>
  <c r="AE188" i="68" s="1"/>
  <c r="Z174" i="68"/>
  <c r="Z178" i="68"/>
  <c r="AE178" i="68" s="1"/>
  <c r="X194" i="68"/>
  <c r="Y194" i="68"/>
  <c r="AI176" i="68"/>
  <c r="U215" i="68"/>
  <c r="AF206" i="68"/>
  <c r="AH211" i="68"/>
  <c r="AH196" i="68"/>
  <c r="X215" i="68"/>
  <c r="AC199" i="68"/>
  <c r="AH199" i="68" s="1"/>
  <c r="Z205" i="68"/>
  <c r="AE205" i="68" s="1"/>
  <c r="AC205" i="68"/>
  <c r="AH205" i="68" s="1"/>
  <c r="AC204" i="68"/>
  <c r="AH204" i="68" s="1"/>
  <c r="AC195" i="68"/>
  <c r="Z203" i="68"/>
  <c r="AE203" i="68" s="1"/>
  <c r="Z197" i="68"/>
  <c r="AE197" i="68" s="1"/>
  <c r="Z201" i="68"/>
  <c r="AE201" i="68" s="1"/>
  <c r="Z211" i="68"/>
  <c r="AE211" i="68" s="1"/>
  <c r="Z207" i="68"/>
  <c r="AE207" i="68" s="1"/>
  <c r="AC206" i="68"/>
  <c r="AH206" i="68" s="1"/>
  <c r="AC197" i="68"/>
  <c r="AH197" i="68" s="1"/>
  <c r="AC202" i="68"/>
  <c r="AH202" i="68" s="1"/>
  <c r="Z209" i="68"/>
  <c r="AE209" i="68" s="1"/>
  <c r="Z196" i="68"/>
  <c r="AE196" i="68" s="1"/>
  <c r="Z195" i="68"/>
  <c r="Z199" i="68"/>
  <c r="AE199" i="68" s="1"/>
  <c r="Z214" i="68"/>
  <c r="AC198" i="68"/>
  <c r="AH198" i="68" s="1"/>
  <c r="AC210" i="68"/>
  <c r="AH210" i="68" s="1"/>
  <c r="Z200" i="68"/>
  <c r="AE200" i="68" s="1"/>
  <c r="AC214" i="68"/>
  <c r="Z198" i="68"/>
  <c r="AE198" i="68" s="1"/>
  <c r="Z204" i="68"/>
  <c r="AE204" i="68" s="1"/>
  <c r="AC201" i="68"/>
  <c r="AH201" i="68" s="1"/>
  <c r="AC26" i="68"/>
  <c r="AH47" i="68"/>
  <c r="F16" i="40"/>
  <c r="Q85" i="40"/>
  <c r="AI52" i="68"/>
  <c r="AF74" i="68"/>
  <c r="B9" i="40"/>
  <c r="J11" i="3" s="1"/>
  <c r="B10" i="40"/>
  <c r="J12" i="3" s="1"/>
  <c r="Z396" i="62"/>
  <c r="AF143" i="68"/>
  <c r="C20" i="40"/>
  <c r="K22" i="3" s="1"/>
  <c r="AI83" i="62"/>
  <c r="AF135" i="68"/>
  <c r="AF164" i="68"/>
  <c r="Z206" i="68"/>
  <c r="AE206" i="68" s="1"/>
  <c r="AC196" i="68"/>
  <c r="AE216" i="68"/>
  <c r="AF218" i="68"/>
  <c r="AC261" i="68"/>
  <c r="Z262" i="68"/>
  <c r="AC270" i="68"/>
  <c r="AH270" i="68" s="1"/>
  <c r="AC266" i="68"/>
  <c r="AH266" i="68" s="1"/>
  <c r="AF284" i="68"/>
  <c r="E20" i="40"/>
  <c r="AD322" i="68"/>
  <c r="AA340" i="68"/>
  <c r="AA324" i="68"/>
  <c r="AF324" i="68" s="1"/>
  <c r="AA321" i="68"/>
  <c r="AD330" i="68"/>
  <c r="AI330" i="68" s="1"/>
  <c r="AD327" i="68"/>
  <c r="AI327" i="68" s="1"/>
  <c r="AD325" i="68"/>
  <c r="AI325" i="68" s="1"/>
  <c r="AA337" i="68"/>
  <c r="AF337" i="68" s="1"/>
  <c r="AA325" i="68"/>
  <c r="AF325" i="68" s="1"/>
  <c r="AD301" i="68"/>
  <c r="AI301" i="68" s="1"/>
  <c r="AA307" i="68"/>
  <c r="AD309" i="68"/>
  <c r="AI309" i="68" s="1"/>
  <c r="AD300" i="68"/>
  <c r="AD315" i="68"/>
  <c r="AI315" i="68" s="1"/>
  <c r="AD285" i="68"/>
  <c r="AA280" i="68"/>
  <c r="AA289" i="68"/>
  <c r="AF289" i="68" s="1"/>
  <c r="AD298" i="68"/>
  <c r="AD287" i="68"/>
  <c r="AI287" i="68" s="1"/>
  <c r="AD289" i="68"/>
  <c r="AI289" i="68" s="1"/>
  <c r="AA274" i="68"/>
  <c r="AF274" i="68" s="1"/>
  <c r="AD262" i="68"/>
  <c r="AA270" i="68"/>
  <c r="AF270" i="68" s="1"/>
  <c r="AA259" i="68"/>
  <c r="AD270" i="68"/>
  <c r="AI270" i="68" s="1"/>
  <c r="AD263" i="68"/>
  <c r="AI263" i="68" s="1"/>
  <c r="AD269" i="68"/>
  <c r="AI269" i="68" s="1"/>
  <c r="AA269" i="68"/>
  <c r="AF269" i="68" s="1"/>
  <c r="AD240" i="68"/>
  <c r="AD241" i="68"/>
  <c r="AI241" i="68" s="1"/>
  <c r="AA256" i="68"/>
  <c r="AA237" i="68"/>
  <c r="AD247" i="68"/>
  <c r="AI247" i="68" s="1"/>
  <c r="AA240" i="68"/>
  <c r="AF240" i="68" s="1"/>
  <c r="AA219" i="68"/>
  <c r="AF219" i="68" s="1"/>
  <c r="AA217" i="68"/>
  <c r="AD228" i="68"/>
  <c r="AI228" i="68" s="1"/>
  <c r="AA227" i="68"/>
  <c r="AF227" i="68" s="1"/>
  <c r="AA220" i="68"/>
  <c r="AF220" i="68" s="1"/>
  <c r="AD232" i="68"/>
  <c r="AI232" i="68" s="1"/>
  <c r="AA228" i="68"/>
  <c r="AF228" i="68" s="1"/>
  <c r="AD218" i="68"/>
  <c r="AI218" i="68" s="1"/>
  <c r="AD222" i="68"/>
  <c r="AI222" i="68" s="1"/>
  <c r="AD216" i="68"/>
  <c r="AD224" i="68"/>
  <c r="AI224" i="68" s="1"/>
  <c r="AD217" i="68"/>
  <c r="AI217" i="68" s="1"/>
  <c r="AA218" i="68"/>
  <c r="AA222" i="68"/>
  <c r="AF222" i="68" s="1"/>
  <c r="AA226" i="68"/>
  <c r="AF226" i="68" s="1"/>
  <c r="AD220" i="68"/>
  <c r="AI220" i="68" s="1"/>
  <c r="AD199" i="68"/>
  <c r="AI199" i="68" s="1"/>
  <c r="AD205" i="68"/>
  <c r="AI205" i="68" s="1"/>
  <c r="AA201" i="68"/>
  <c r="AF201" i="68" s="1"/>
  <c r="AA204" i="68"/>
  <c r="AF204" i="68" s="1"/>
  <c r="AA206" i="68"/>
  <c r="AA205" i="68"/>
  <c r="AF205" i="68" s="1"/>
  <c r="AA203" i="68"/>
  <c r="AF203" i="68" s="1"/>
  <c r="AA207" i="68"/>
  <c r="AF207" i="68" s="1"/>
  <c r="AD197" i="68"/>
  <c r="AD202" i="68"/>
  <c r="AI202" i="68" s="1"/>
  <c r="AA200" i="68"/>
  <c r="AD181" i="68"/>
  <c r="AI181" i="68" s="1"/>
  <c r="AD179" i="68"/>
  <c r="AI179" i="68" s="1"/>
  <c r="AD175" i="68"/>
  <c r="AA186" i="68"/>
  <c r="AF186" i="68" s="1"/>
  <c r="AA178" i="68"/>
  <c r="AF178" i="68" s="1"/>
  <c r="AA193" i="68"/>
  <c r="AA176" i="68"/>
  <c r="AF176" i="68" s="1"/>
  <c r="AA182" i="68"/>
  <c r="AF182" i="68" s="1"/>
  <c r="AA183" i="68"/>
  <c r="AF183" i="68" s="1"/>
  <c r="AD186" i="68"/>
  <c r="AI186" i="68" s="1"/>
  <c r="AA179" i="68"/>
  <c r="AF179" i="68" s="1"/>
  <c r="AD159" i="68"/>
  <c r="AI159" i="68" s="1"/>
  <c r="AA169" i="68"/>
  <c r="AF169" i="68" s="1"/>
  <c r="AA156" i="68"/>
  <c r="AF156" i="68" s="1"/>
  <c r="AA155" i="68"/>
  <c r="AD172" i="68"/>
  <c r="AA163" i="68"/>
  <c r="AF163" i="68" s="1"/>
  <c r="AD153" i="68"/>
  <c r="AD166" i="68"/>
  <c r="AI166" i="68" s="1"/>
  <c r="AA172" i="68"/>
  <c r="AD156" i="68"/>
  <c r="AI156" i="68" s="1"/>
  <c r="AD164" i="68"/>
  <c r="AI164" i="68" s="1"/>
  <c r="AA151" i="68"/>
  <c r="AA143" i="68"/>
  <c r="AD148" i="68"/>
  <c r="AI148" i="68" s="1"/>
  <c r="AD132" i="68"/>
  <c r="AD139" i="68"/>
  <c r="AI139" i="68" s="1"/>
  <c r="AA138" i="68"/>
  <c r="AF138" i="68" s="1"/>
  <c r="AA133" i="68"/>
  <c r="AA136" i="68"/>
  <c r="AF136" i="68" s="1"/>
  <c r="AA148" i="68"/>
  <c r="AF148" i="68" s="1"/>
  <c r="AA114" i="68"/>
  <c r="AF114" i="68" s="1"/>
  <c r="AD113" i="68"/>
  <c r="AI113" i="68" s="1"/>
  <c r="AD120" i="68"/>
  <c r="AI120" i="68" s="1"/>
  <c r="AA111" i="68"/>
  <c r="AD115" i="68"/>
  <c r="AI115" i="68" s="1"/>
  <c r="AD122" i="68"/>
  <c r="AI122" i="68" s="1"/>
  <c r="AD112" i="68"/>
  <c r="AD98" i="68"/>
  <c r="AI98" i="68" s="1"/>
  <c r="AD100" i="68"/>
  <c r="AI100" i="68" s="1"/>
  <c r="AD95" i="68"/>
  <c r="AI95" i="68" s="1"/>
  <c r="AD99" i="68"/>
  <c r="AI99" i="68" s="1"/>
  <c r="AD92" i="68"/>
  <c r="AD103" i="68"/>
  <c r="AI103" i="68" s="1"/>
  <c r="AA106" i="68"/>
  <c r="AF106" i="68" s="1"/>
  <c r="AF110" i="68" s="1"/>
  <c r="AA101" i="68"/>
  <c r="AF101" i="68" s="1"/>
  <c r="AD73" i="68"/>
  <c r="AI73" i="68" s="1"/>
  <c r="AD76" i="68"/>
  <c r="AI76" i="68" s="1"/>
  <c r="AA78" i="68"/>
  <c r="AF78" i="68" s="1"/>
  <c r="AD70" i="68"/>
  <c r="AI70" i="68" s="1"/>
  <c r="AA81" i="68"/>
  <c r="AF81" i="68" s="1"/>
  <c r="AD88" i="68"/>
  <c r="AD75" i="68"/>
  <c r="AI75" i="68" s="1"/>
  <c r="AA85" i="68"/>
  <c r="AF85" i="68" s="1"/>
  <c r="AA71" i="68"/>
  <c r="AA77" i="68"/>
  <c r="AF77" i="68" s="1"/>
  <c r="AD69" i="68"/>
  <c r="AD71" i="68"/>
  <c r="AI71" i="68" s="1"/>
  <c r="AA76" i="68"/>
  <c r="AF76" i="68" s="1"/>
  <c r="AD48" i="68"/>
  <c r="AD61" i="68"/>
  <c r="AI61" i="68" s="1"/>
  <c r="AD52" i="68"/>
  <c r="AD58" i="68"/>
  <c r="AI58" i="68" s="1"/>
  <c r="AD36" i="68"/>
  <c r="AI36" i="68" s="1"/>
  <c r="AA35" i="68"/>
  <c r="AF35" i="68" s="1"/>
  <c r="AA29" i="68"/>
  <c r="AA36" i="68"/>
  <c r="AF36" i="68" s="1"/>
  <c r="AD30" i="68"/>
  <c r="AI30" i="68" s="1"/>
  <c r="AD31" i="68"/>
  <c r="AI31" i="68" s="1"/>
  <c r="AD28" i="68"/>
  <c r="AA30" i="68"/>
  <c r="AF30" i="68" s="1"/>
  <c r="AA40" i="68"/>
  <c r="AF40" i="68" s="1"/>
  <c r="AA37" i="68"/>
  <c r="AF37" i="68" s="1"/>
  <c r="AA39" i="68"/>
  <c r="AF39" i="68" s="1"/>
  <c r="AA20" i="68"/>
  <c r="AF20" i="68" s="1"/>
  <c r="AA19" i="68"/>
  <c r="AF19" i="68" s="1"/>
  <c r="AA8" i="68"/>
  <c r="AD25" i="68"/>
  <c r="AD8" i="68"/>
  <c r="AD18" i="68"/>
  <c r="AI18" i="68" s="1"/>
  <c r="AF342" i="68"/>
  <c r="AF362" i="68" s="1"/>
  <c r="V362" i="68"/>
  <c r="B15" i="40"/>
  <c r="J17" i="3" s="1"/>
  <c r="AC304" i="68"/>
  <c r="AC307" i="68"/>
  <c r="AH307" i="68" s="1"/>
  <c r="Z304" i="68"/>
  <c r="AC309" i="68"/>
  <c r="AH309" i="68" s="1"/>
  <c r="U320" i="68"/>
  <c r="AE309" i="68"/>
  <c r="AF316" i="68"/>
  <c r="AC327" i="68"/>
  <c r="AH327" i="68" s="1"/>
  <c r="AC337" i="68"/>
  <c r="AH337" i="68" s="1"/>
  <c r="AC323" i="68"/>
  <c r="AH323" i="68" s="1"/>
  <c r="AC334" i="68"/>
  <c r="AH334" i="68" s="1"/>
  <c r="AC324" i="68"/>
  <c r="AH324" i="68" s="1"/>
  <c r="Z321" i="68"/>
  <c r="Z326" i="68"/>
  <c r="AE326" i="68" s="1"/>
  <c r="Z330" i="68"/>
  <c r="AE330" i="68" s="1"/>
  <c r="Z327" i="68"/>
  <c r="AE327" i="68" s="1"/>
  <c r="AC321" i="68"/>
  <c r="Z324" i="68"/>
  <c r="AE324" i="68" s="1"/>
  <c r="V215" i="68"/>
  <c r="AI211" i="68"/>
  <c r="AC219" i="68"/>
  <c r="Z231" i="68"/>
  <c r="AE231" i="68" s="1"/>
  <c r="Z223" i="68"/>
  <c r="Z225" i="68"/>
  <c r="AE225" i="68" s="1"/>
  <c r="AF244" i="68"/>
  <c r="V257" i="68"/>
  <c r="Z237" i="68"/>
  <c r="AC249" i="68"/>
  <c r="AH249" i="68" s="1"/>
  <c r="AH257" i="68" s="1"/>
  <c r="Z256" i="68"/>
  <c r="Z244" i="68"/>
  <c r="AE244" i="68" s="1"/>
  <c r="Z253" i="68"/>
  <c r="AE253" i="68" s="1"/>
  <c r="Z246" i="68"/>
  <c r="AE246" i="68" s="1"/>
  <c r="AF262" i="68"/>
  <c r="AH264" i="68"/>
  <c r="V299" i="68"/>
  <c r="B43" i="40"/>
  <c r="N22" i="3" s="1"/>
  <c r="X26" i="62"/>
  <c r="F7" i="40"/>
  <c r="AI119" i="68"/>
  <c r="C17" i="40"/>
  <c r="K19" i="3" s="1"/>
  <c r="B18" i="40"/>
  <c r="J20" i="3" s="1"/>
  <c r="AA7" i="75"/>
  <c r="F57" i="40"/>
  <c r="Q57" i="40" s="1"/>
  <c r="F59" i="40"/>
  <c r="E63" i="40"/>
  <c r="T19" i="3" s="1"/>
  <c r="AD56" i="75"/>
  <c r="Z206" i="75"/>
  <c r="AE206" i="75" s="1"/>
  <c r="AF154" i="68"/>
  <c r="Q152" i="40"/>
  <c r="D50" i="3"/>
  <c r="F61" i="40"/>
  <c r="Q61" i="40" s="1"/>
  <c r="AI16" i="75"/>
  <c r="E62" i="40"/>
  <c r="Z205" i="75"/>
  <c r="Z378" i="75"/>
  <c r="AA226" i="76"/>
  <c r="Q64" i="40"/>
  <c r="T20" i="3"/>
  <c r="AF9" i="75"/>
  <c r="M55" i="40" s="1"/>
  <c r="S61" i="3" s="1"/>
  <c r="Q161" i="40"/>
  <c r="F54" i="40"/>
  <c r="Q54" i="40" s="1"/>
  <c r="V278" i="76"/>
  <c r="X425" i="76"/>
  <c r="E10" i="40"/>
  <c r="L12" i="3" s="1"/>
  <c r="F10" i="40"/>
  <c r="B11" i="40"/>
  <c r="J13" i="3" s="1"/>
  <c r="AC21" i="75"/>
  <c r="AE301" i="75"/>
  <c r="AE320" i="75" s="1"/>
  <c r="AI405" i="76"/>
  <c r="AI411" i="76"/>
  <c r="AI417" i="76"/>
  <c r="E11" i="40"/>
  <c r="K425" i="75"/>
  <c r="AE175" i="75"/>
  <c r="AE194" i="75" s="1"/>
  <c r="AA241" i="75"/>
  <c r="AD346" i="75"/>
  <c r="AD123" i="76"/>
  <c r="AD111" i="76"/>
  <c r="AA112" i="76"/>
  <c r="AC17" i="75"/>
  <c r="AH17" i="75" s="1"/>
  <c r="X89" i="76"/>
  <c r="C33" i="40"/>
  <c r="O12" i="3" s="1"/>
  <c r="C35" i="40"/>
  <c r="O14" i="3" s="1"/>
  <c r="AF242" i="68"/>
  <c r="AI260" i="68"/>
  <c r="Q111" i="40"/>
  <c r="B7" i="40"/>
  <c r="AD17" i="62"/>
  <c r="AI17" i="62" s="1"/>
  <c r="C57" i="40"/>
  <c r="B59" i="40"/>
  <c r="R15" i="3" s="1"/>
  <c r="B56" i="40"/>
  <c r="E38" i="40"/>
  <c r="E39" i="40"/>
  <c r="AC49" i="76"/>
  <c r="B61" i="40"/>
  <c r="R17" i="3" s="1"/>
  <c r="B63" i="40"/>
  <c r="R19" i="3" s="1"/>
  <c r="AA74" i="76"/>
  <c r="AE345" i="76"/>
  <c r="AD240" i="75"/>
  <c r="AC301" i="75"/>
  <c r="AC59" i="76"/>
  <c r="AH59" i="76" s="1"/>
  <c r="Z322" i="75"/>
  <c r="G54" i="40" s="1"/>
  <c r="R35" i="3" s="1"/>
  <c r="AC70" i="75"/>
  <c r="AC89" i="75" s="1"/>
  <c r="F24" i="3" l="1"/>
  <c r="B16" i="3"/>
  <c r="F14" i="3"/>
  <c r="AI404" i="76"/>
  <c r="H30" i="40"/>
  <c r="O34" i="3" s="1"/>
  <c r="AI320" i="62"/>
  <c r="AD320" i="62"/>
  <c r="AH47" i="76"/>
  <c r="AE320" i="76"/>
  <c r="AC278" i="76"/>
  <c r="AE173" i="76"/>
  <c r="Z194" i="76"/>
  <c r="AF383" i="76"/>
  <c r="AF425" i="76"/>
  <c r="AE236" i="76"/>
  <c r="AH173" i="76"/>
  <c r="P43" i="40"/>
  <c r="Q72" i="3" s="1"/>
  <c r="AI173" i="76"/>
  <c r="J45" i="40"/>
  <c r="P49" i="3" s="1"/>
  <c r="AC173" i="76"/>
  <c r="AA383" i="76"/>
  <c r="AI320" i="76"/>
  <c r="P38" i="40"/>
  <c r="Q67" i="3" s="1"/>
  <c r="AA404" i="76"/>
  <c r="AE47" i="76"/>
  <c r="AH110" i="76"/>
  <c r="M39" i="40"/>
  <c r="O68" i="3" s="1"/>
  <c r="AF362" i="76"/>
  <c r="AH194" i="76"/>
  <c r="AE383" i="76"/>
  <c r="AH383" i="76"/>
  <c r="Z425" i="76"/>
  <c r="AF173" i="76"/>
  <c r="AI299" i="76"/>
  <c r="AH278" i="76"/>
  <c r="AE404" i="76"/>
  <c r="AE278" i="76"/>
  <c r="AI383" i="76"/>
  <c r="AD299" i="76"/>
  <c r="AI194" i="76"/>
  <c r="AD404" i="76"/>
  <c r="AC362" i="62"/>
  <c r="D11" i="3"/>
  <c r="F18" i="3"/>
  <c r="S17" i="3"/>
  <c r="U17" i="3"/>
  <c r="S15" i="3"/>
  <c r="U15" i="3"/>
  <c r="E15" i="3" s="1"/>
  <c r="G17" i="3"/>
  <c r="S10" i="3"/>
  <c r="G10" i="3" s="1"/>
  <c r="U10" i="3"/>
  <c r="S19" i="3"/>
  <c r="G19" i="3" s="1"/>
  <c r="U19" i="3"/>
  <c r="Q59" i="40"/>
  <c r="AE22" i="75"/>
  <c r="L66" i="40" s="1"/>
  <c r="R72" i="3" s="1"/>
  <c r="G66" i="40"/>
  <c r="R47" i="3" s="1"/>
  <c r="AE9" i="75"/>
  <c r="L55" i="40" s="1"/>
  <c r="R61" i="3" s="1"/>
  <c r="G55" i="40"/>
  <c r="R36" i="3" s="1"/>
  <c r="AH8" i="75"/>
  <c r="G59" i="40"/>
  <c r="R40" i="3" s="1"/>
  <c r="AE12" i="75"/>
  <c r="L59" i="40" s="1"/>
  <c r="R65" i="3" s="1"/>
  <c r="AH12" i="75"/>
  <c r="O59" i="40" s="1"/>
  <c r="T65" i="3" s="1"/>
  <c r="Z26" i="75"/>
  <c r="AE14" i="75"/>
  <c r="L61" i="40" s="1"/>
  <c r="R67" i="3" s="1"/>
  <c r="AE18" i="75"/>
  <c r="L62" i="40" s="1"/>
  <c r="R68" i="3" s="1"/>
  <c r="AH18" i="75"/>
  <c r="O62" i="40" s="1"/>
  <c r="T68" i="3" s="1"/>
  <c r="AE11" i="75"/>
  <c r="L58" i="40" s="1"/>
  <c r="R64" i="3" s="1"/>
  <c r="G58" i="40"/>
  <c r="R39" i="3" s="1"/>
  <c r="AE16" i="75"/>
  <c r="J66" i="40"/>
  <c r="T47" i="3" s="1"/>
  <c r="AH22" i="75"/>
  <c r="O66" i="40" s="1"/>
  <c r="T72" i="3" s="1"/>
  <c r="T8" i="3"/>
  <c r="Q52" i="40"/>
  <c r="AE8" i="75"/>
  <c r="L56" i="40" s="1"/>
  <c r="R62" i="3" s="1"/>
  <c r="G56" i="40"/>
  <c r="R37" i="3" s="1"/>
  <c r="P31" i="40"/>
  <c r="Q60" i="3" s="1"/>
  <c r="M43" i="40"/>
  <c r="O72" i="3" s="1"/>
  <c r="AI341" i="76"/>
  <c r="AC404" i="76"/>
  <c r="AD194" i="76"/>
  <c r="Z278" i="76"/>
  <c r="AC194" i="76"/>
  <c r="AC215" i="76"/>
  <c r="AD425" i="76"/>
  <c r="AA173" i="76"/>
  <c r="Z257" i="76"/>
  <c r="AD362" i="76"/>
  <c r="H34" i="40"/>
  <c r="O38" i="3" s="1"/>
  <c r="AD341" i="76"/>
  <c r="AC383" i="76"/>
  <c r="AH320" i="76"/>
  <c r="AH341" i="76"/>
  <c r="AH425" i="76"/>
  <c r="AF299" i="76"/>
  <c r="Z404" i="76"/>
  <c r="AF341" i="76"/>
  <c r="AA362" i="76"/>
  <c r="AA299" i="76"/>
  <c r="AD383" i="76"/>
  <c r="AE341" i="76"/>
  <c r="Z320" i="76"/>
  <c r="Z236" i="76"/>
  <c r="E22" i="3"/>
  <c r="C11" i="3"/>
  <c r="B14" i="3"/>
  <c r="B10" i="3"/>
  <c r="M41" i="40"/>
  <c r="O70" i="3" s="1"/>
  <c r="I21" i="3"/>
  <c r="C9" i="3"/>
  <c r="H14" i="3"/>
  <c r="H15" i="3"/>
  <c r="D21" i="3"/>
  <c r="V21" i="3" s="1"/>
  <c r="G31" i="40"/>
  <c r="N35" i="3" s="1"/>
  <c r="AE131" i="76"/>
  <c r="J41" i="40"/>
  <c r="P45" i="3" s="1"/>
  <c r="L42" i="40"/>
  <c r="N71" i="3" s="1"/>
  <c r="Q43" i="40"/>
  <c r="AH131" i="76"/>
  <c r="O32" i="40"/>
  <c r="P61" i="3" s="1"/>
  <c r="AF110" i="76"/>
  <c r="AD110" i="76"/>
  <c r="H43" i="40"/>
  <c r="O47" i="3" s="1"/>
  <c r="AA110" i="76"/>
  <c r="AC110" i="76"/>
  <c r="AI89" i="76"/>
  <c r="Z89" i="76"/>
  <c r="C18" i="3"/>
  <c r="C16" i="3"/>
  <c r="E16" i="3"/>
  <c r="Q37" i="40"/>
  <c r="Q42" i="40"/>
  <c r="G33" i="40"/>
  <c r="N37" i="3" s="1"/>
  <c r="H11" i="3"/>
  <c r="Q36" i="40"/>
  <c r="C20" i="3"/>
  <c r="H10" i="3"/>
  <c r="AF320" i="76"/>
  <c r="O36" i="40"/>
  <c r="P65" i="3" s="1"/>
  <c r="AC425" i="76"/>
  <c r="AE194" i="76"/>
  <c r="AC341" i="76"/>
  <c r="AF404" i="76"/>
  <c r="AA341" i="76"/>
  <c r="AD320" i="76"/>
  <c r="K32" i="40"/>
  <c r="Q36" i="3" s="1"/>
  <c r="Z341" i="76"/>
  <c r="AA320" i="76"/>
  <c r="E29" i="40"/>
  <c r="P8" i="3" s="1"/>
  <c r="AD257" i="76"/>
  <c r="Z47" i="76"/>
  <c r="AA425" i="76"/>
  <c r="AA68" i="76"/>
  <c r="K37" i="40"/>
  <c r="Q41" i="3" s="1"/>
  <c r="Z383" i="76"/>
  <c r="AF257" i="76"/>
  <c r="AI257" i="76"/>
  <c r="AC320" i="76"/>
  <c r="Z173" i="76"/>
  <c r="AD89" i="76"/>
  <c r="F29" i="40"/>
  <c r="Q8" i="3" s="1"/>
  <c r="AH236" i="76"/>
  <c r="AH215" i="76"/>
  <c r="AC236" i="76"/>
  <c r="AI362" i="76"/>
  <c r="H36" i="40"/>
  <c r="O40" i="3" s="1"/>
  <c r="AA257" i="76"/>
  <c r="AD152" i="76"/>
  <c r="J30" i="40"/>
  <c r="P34" i="3" s="1"/>
  <c r="AF152" i="76"/>
  <c r="AC257" i="76"/>
  <c r="M37" i="40"/>
  <c r="O66" i="3" s="1"/>
  <c r="K43" i="40"/>
  <c r="Q47" i="3" s="1"/>
  <c r="H45" i="40"/>
  <c r="O49" i="3" s="1"/>
  <c r="K31" i="40"/>
  <c r="Q35" i="3" s="1"/>
  <c r="AA152" i="76"/>
  <c r="AD236" i="76"/>
  <c r="AF215" i="76"/>
  <c r="Z215" i="76"/>
  <c r="L43" i="40"/>
  <c r="N72" i="3" s="1"/>
  <c r="AA89" i="76"/>
  <c r="N9" i="3"/>
  <c r="B29" i="40"/>
  <c r="N8" i="3" s="1"/>
  <c r="AE257" i="76"/>
  <c r="AI210" i="76"/>
  <c r="P45" i="40" s="1"/>
  <c r="Q74" i="3" s="1"/>
  <c r="K45" i="40"/>
  <c r="Q49" i="3" s="1"/>
  <c r="AI236" i="76"/>
  <c r="G42" i="40"/>
  <c r="N46" i="3" s="1"/>
  <c r="H37" i="40"/>
  <c r="O41" i="3" s="1"/>
  <c r="O34" i="40"/>
  <c r="P63" i="3" s="1"/>
  <c r="AD215" i="76"/>
  <c r="AI198" i="76"/>
  <c r="AD47" i="76"/>
  <c r="AA215" i="76"/>
  <c r="J32" i="40"/>
  <c r="P36" i="3" s="1"/>
  <c r="G43" i="40"/>
  <c r="N47" i="3" s="1"/>
  <c r="AF177" i="76"/>
  <c r="AF194" i="76" s="1"/>
  <c r="AA194" i="76"/>
  <c r="H9" i="3"/>
  <c r="Z68" i="76"/>
  <c r="V73" i="3"/>
  <c r="K35" i="40"/>
  <c r="Q39" i="3" s="1"/>
  <c r="K36" i="40"/>
  <c r="Q40" i="3" s="1"/>
  <c r="M36" i="40"/>
  <c r="O65" i="3" s="1"/>
  <c r="P33" i="40"/>
  <c r="Q62" i="3" s="1"/>
  <c r="I14" i="3"/>
  <c r="C21" i="3"/>
  <c r="G21" i="3"/>
  <c r="AA47" i="76"/>
  <c r="AF28" i="76"/>
  <c r="AF47" i="76" s="1"/>
  <c r="I20" i="3"/>
  <c r="H24" i="3"/>
  <c r="Q45" i="40"/>
  <c r="Q33" i="40"/>
  <c r="O45" i="40"/>
  <c r="P74" i="3" s="1"/>
  <c r="AH257" i="76"/>
  <c r="P35" i="40"/>
  <c r="Q64" i="3" s="1"/>
  <c r="AF260" i="76"/>
  <c r="AF278" i="76" s="1"/>
  <c r="AA278" i="76"/>
  <c r="AC47" i="76"/>
  <c r="L33" i="40"/>
  <c r="N62" i="3" s="1"/>
  <c r="I17" i="3"/>
  <c r="Z152" i="76"/>
  <c r="AC131" i="76"/>
  <c r="Q35" i="40"/>
  <c r="AI152" i="76"/>
  <c r="G45" i="40"/>
  <c r="N49" i="3" s="1"/>
  <c r="Q40" i="40"/>
  <c r="Q19" i="3"/>
  <c r="AE98" i="76"/>
  <c r="AE110" i="76" s="1"/>
  <c r="Z110" i="76"/>
  <c r="L45" i="40"/>
  <c r="N74" i="3" s="1"/>
  <c r="AH132" i="76"/>
  <c r="AH152" i="76" s="1"/>
  <c r="AC152" i="76"/>
  <c r="AE152" i="76"/>
  <c r="AH69" i="76"/>
  <c r="AH89" i="76" s="1"/>
  <c r="AC89" i="76"/>
  <c r="AE205" i="76"/>
  <c r="AE215" i="76" s="1"/>
  <c r="AE362" i="76"/>
  <c r="AE279" i="76"/>
  <c r="AE299" i="76" s="1"/>
  <c r="Z299" i="76"/>
  <c r="AH342" i="76"/>
  <c r="AH362" i="76" s="1"/>
  <c r="AC362" i="76"/>
  <c r="Z131" i="76"/>
  <c r="AD173" i="76"/>
  <c r="AD68" i="76"/>
  <c r="AI258" i="76"/>
  <c r="AI278" i="76" s="1"/>
  <c r="AD278" i="76"/>
  <c r="J34" i="40"/>
  <c r="P38" i="3" s="1"/>
  <c r="AH279" i="76"/>
  <c r="AH299" i="76" s="1"/>
  <c r="AC299" i="76"/>
  <c r="Z362" i="76"/>
  <c r="Q30" i="40"/>
  <c r="K33" i="40"/>
  <c r="Q37" i="3" s="1"/>
  <c r="J36" i="40"/>
  <c r="P40" i="3" s="1"/>
  <c r="K40" i="40"/>
  <c r="Q44" i="3" s="1"/>
  <c r="P40" i="40"/>
  <c r="Q69" i="3" s="1"/>
  <c r="H41" i="40"/>
  <c r="O45" i="3" s="1"/>
  <c r="E11" i="3"/>
  <c r="K42" i="40"/>
  <c r="Q46" i="3" s="1"/>
  <c r="AI19" i="76"/>
  <c r="P42" i="40" s="1"/>
  <c r="Q71" i="3" s="1"/>
  <c r="H31" i="40"/>
  <c r="O35" i="3" s="1"/>
  <c r="K38" i="40"/>
  <c r="Q42" i="3" s="1"/>
  <c r="I10" i="3"/>
  <c r="AI21" i="76"/>
  <c r="P41" i="40" s="1"/>
  <c r="Q70" i="3" s="1"/>
  <c r="K41" i="40"/>
  <c r="Q45" i="3" s="1"/>
  <c r="AI10" i="76"/>
  <c r="P34" i="40" s="1"/>
  <c r="Q63" i="3" s="1"/>
  <c r="K34" i="40"/>
  <c r="Q38" i="3" s="1"/>
  <c r="AF19" i="76"/>
  <c r="M42" i="40" s="1"/>
  <c r="O71" i="3" s="1"/>
  <c r="H42" i="40"/>
  <c r="O46" i="3" s="1"/>
  <c r="AF9" i="76"/>
  <c r="H32" i="40"/>
  <c r="O36" i="3" s="1"/>
  <c r="AF8" i="76"/>
  <c r="H33" i="40"/>
  <c r="O37" i="3" s="1"/>
  <c r="AF6" i="76"/>
  <c r="M30" i="40" s="1"/>
  <c r="O59" i="3" s="1"/>
  <c r="AA26" i="76"/>
  <c r="Q32" i="40"/>
  <c r="AD26" i="76"/>
  <c r="Q41" i="40"/>
  <c r="Q31" i="40"/>
  <c r="H39" i="40"/>
  <c r="O43" i="3" s="1"/>
  <c r="C29" i="40"/>
  <c r="O8" i="3" s="1"/>
  <c r="Q34" i="40"/>
  <c r="AF14" i="76"/>
  <c r="M38" i="40" s="1"/>
  <c r="O67" i="3" s="1"/>
  <c r="H38" i="40"/>
  <c r="O42" i="3" s="1"/>
  <c r="AI13" i="76"/>
  <c r="P37" i="40" s="1"/>
  <c r="Q66" i="3" s="1"/>
  <c r="AI9" i="76"/>
  <c r="AH21" i="76"/>
  <c r="O41" i="40" s="1"/>
  <c r="P70" i="3" s="1"/>
  <c r="G32" i="40"/>
  <c r="N36" i="3" s="1"/>
  <c r="E14" i="3"/>
  <c r="F6" i="40"/>
  <c r="M8" i="3" s="1"/>
  <c r="AE89" i="62"/>
  <c r="AH383" i="62"/>
  <c r="Z383" i="62"/>
  <c r="Z362" i="62"/>
  <c r="D10" i="3"/>
  <c r="AH152" i="62"/>
  <c r="AH10" i="62"/>
  <c r="J11" i="40"/>
  <c r="L38" i="3" s="1"/>
  <c r="Z257" i="62"/>
  <c r="D9" i="3"/>
  <c r="AI425" i="62"/>
  <c r="AE362" i="62"/>
  <c r="AD425" i="62"/>
  <c r="AA152" i="62"/>
  <c r="AH110" i="62"/>
  <c r="C10" i="3"/>
  <c r="E17" i="3"/>
  <c r="G18" i="3"/>
  <c r="G24" i="3"/>
  <c r="AF110" i="62"/>
  <c r="M22" i="40"/>
  <c r="K74" i="3" s="1"/>
  <c r="G12" i="3"/>
  <c r="Q9" i="40"/>
  <c r="Z89" i="62"/>
  <c r="AI89" i="62"/>
  <c r="I11" i="3"/>
  <c r="G9" i="3"/>
  <c r="E10" i="3"/>
  <c r="G20" i="3"/>
  <c r="AD89" i="62"/>
  <c r="Q8" i="40"/>
  <c r="G15" i="3"/>
  <c r="D15" i="3"/>
  <c r="Q19" i="40"/>
  <c r="H21" i="3"/>
  <c r="F10" i="3"/>
  <c r="K14" i="40"/>
  <c r="M41" i="3" s="1"/>
  <c r="V50" i="3"/>
  <c r="C25" i="3"/>
  <c r="B24" i="3"/>
  <c r="P12" i="40"/>
  <c r="M64" i="3" s="1"/>
  <c r="AD194" i="62"/>
  <c r="AA194" i="62"/>
  <c r="AD68" i="62"/>
  <c r="AA89" i="62"/>
  <c r="Z152" i="62"/>
  <c r="Z173" i="62"/>
  <c r="AD299" i="62"/>
  <c r="K15" i="40"/>
  <c r="M42" i="3" s="1"/>
  <c r="AE367" i="62"/>
  <c r="AE383" i="62" s="1"/>
  <c r="P13" i="40"/>
  <c r="M65" i="3" s="1"/>
  <c r="AC383" i="62"/>
  <c r="AD110" i="62"/>
  <c r="AC89" i="62"/>
  <c r="AC110" i="62"/>
  <c r="AF89" i="62"/>
  <c r="K13" i="40"/>
  <c r="M40" i="3" s="1"/>
  <c r="AE110" i="62"/>
  <c r="C6" i="40"/>
  <c r="K8" i="3" s="1"/>
  <c r="AA110" i="62"/>
  <c r="P22" i="40"/>
  <c r="M74" i="3" s="1"/>
  <c r="Z236" i="62"/>
  <c r="P18" i="40"/>
  <c r="M70" i="3" s="1"/>
  <c r="AE236" i="62"/>
  <c r="AE152" i="62"/>
  <c r="J12" i="40"/>
  <c r="L39" i="3" s="1"/>
  <c r="K19" i="40"/>
  <c r="M46" i="3" s="1"/>
  <c r="AI127" i="62"/>
  <c r="P19" i="40" s="1"/>
  <c r="M71" i="3" s="1"/>
  <c r="P17" i="40"/>
  <c r="M69" i="3" s="1"/>
  <c r="AE257" i="62"/>
  <c r="E20" i="3"/>
  <c r="AH89" i="62"/>
  <c r="AF321" i="62"/>
  <c r="AF341" i="62" s="1"/>
  <c r="AA341" i="62"/>
  <c r="AD341" i="62"/>
  <c r="Z110" i="62"/>
  <c r="AI363" i="62"/>
  <c r="AI383" i="62" s="1"/>
  <c r="AD383" i="62"/>
  <c r="AF363" i="62"/>
  <c r="AF383" i="62" s="1"/>
  <c r="AA383" i="62"/>
  <c r="P16" i="40"/>
  <c r="M68" i="3" s="1"/>
  <c r="AF405" i="62"/>
  <c r="AF425" i="62" s="1"/>
  <c r="AA425" i="62"/>
  <c r="AF127" i="62"/>
  <c r="M19" i="40" s="1"/>
  <c r="K71" i="3" s="1"/>
  <c r="H19" i="40"/>
  <c r="K46" i="3" s="1"/>
  <c r="AH362" i="62"/>
  <c r="AI341" i="62"/>
  <c r="L20" i="40"/>
  <c r="J72" i="3" s="1"/>
  <c r="Z131" i="62"/>
  <c r="E6" i="40"/>
  <c r="L8" i="3" s="1"/>
  <c r="AF362" i="62"/>
  <c r="G20" i="40"/>
  <c r="J47" i="3" s="1"/>
  <c r="Z425" i="62"/>
  <c r="AH127" i="62"/>
  <c r="O19" i="40" s="1"/>
  <c r="L71" i="3" s="1"/>
  <c r="C15" i="3"/>
  <c r="C17" i="3"/>
  <c r="Z26" i="76"/>
  <c r="G36" i="40"/>
  <c r="N40" i="3" s="1"/>
  <c r="AH11" i="76"/>
  <c r="O35" i="40" s="1"/>
  <c r="P64" i="3" s="1"/>
  <c r="J35" i="40"/>
  <c r="P39" i="3" s="1"/>
  <c r="AH22" i="76"/>
  <c r="O43" i="40" s="1"/>
  <c r="P72" i="3" s="1"/>
  <c r="J43" i="40"/>
  <c r="P47" i="3" s="1"/>
  <c r="AE13" i="76"/>
  <c r="L37" i="40" s="1"/>
  <c r="N66" i="3" s="1"/>
  <c r="G37" i="40"/>
  <c r="N41" i="3" s="1"/>
  <c r="AH8" i="76"/>
  <c r="O33" i="40" s="1"/>
  <c r="P62" i="3" s="1"/>
  <c r="J33" i="40"/>
  <c r="P37" i="3" s="1"/>
  <c r="AE14" i="76"/>
  <c r="G38" i="40"/>
  <c r="N42" i="3" s="1"/>
  <c r="AE11" i="76"/>
  <c r="L35" i="40" s="1"/>
  <c r="N64" i="3" s="1"/>
  <c r="G35" i="40"/>
  <c r="N39" i="3" s="1"/>
  <c r="AH19" i="76"/>
  <c r="O42" i="40" s="1"/>
  <c r="P71" i="3" s="1"/>
  <c r="J42" i="40"/>
  <c r="P46" i="3" s="1"/>
  <c r="G40" i="40"/>
  <c r="N44" i="3" s="1"/>
  <c r="AE16" i="76"/>
  <c r="L40" i="40" s="1"/>
  <c r="N69" i="3" s="1"/>
  <c r="AE10" i="76"/>
  <c r="L34" i="40" s="1"/>
  <c r="N63" i="3" s="1"/>
  <c r="G34" i="40"/>
  <c r="N38" i="3" s="1"/>
  <c r="AH16" i="76"/>
  <c r="O40" i="40" s="1"/>
  <c r="P69" i="3" s="1"/>
  <c r="J40" i="40"/>
  <c r="P44" i="3" s="1"/>
  <c r="G30" i="40"/>
  <c r="N34" i="3" s="1"/>
  <c r="AE6" i="76"/>
  <c r="L30" i="40" s="1"/>
  <c r="N59" i="3" s="1"/>
  <c r="AE21" i="76"/>
  <c r="L41" i="40" s="1"/>
  <c r="N70" i="3" s="1"/>
  <c r="G41" i="40"/>
  <c r="N45" i="3" s="1"/>
  <c r="AC26" i="76"/>
  <c r="AH6" i="76"/>
  <c r="J38" i="40"/>
  <c r="P42" i="3" s="1"/>
  <c r="AH14" i="76"/>
  <c r="O38" i="40" s="1"/>
  <c r="P67" i="3" s="1"/>
  <c r="AH13" i="76"/>
  <c r="O37" i="40" s="1"/>
  <c r="P66" i="3" s="1"/>
  <c r="J37" i="40"/>
  <c r="P41" i="3" s="1"/>
  <c r="AH18" i="76"/>
  <c r="O39" i="40" s="1"/>
  <c r="P68" i="3" s="1"/>
  <c r="J39" i="40"/>
  <c r="P43" i="3" s="1"/>
  <c r="AE18" i="76"/>
  <c r="L39" i="40" s="1"/>
  <c r="N68" i="3" s="1"/>
  <c r="G39" i="40"/>
  <c r="N43" i="3" s="1"/>
  <c r="I15" i="3"/>
  <c r="O13" i="40"/>
  <c r="L65" i="3" s="1"/>
  <c r="AI68" i="62"/>
  <c r="AF68" i="62"/>
  <c r="P14" i="40"/>
  <c r="M66" i="3" s="1"/>
  <c r="P10" i="40"/>
  <c r="M62" i="3" s="1"/>
  <c r="AA68" i="62"/>
  <c r="H8" i="40"/>
  <c r="K35" i="3" s="1"/>
  <c r="AA47" i="62"/>
  <c r="I22" i="3"/>
  <c r="K7" i="40"/>
  <c r="M34" i="3" s="1"/>
  <c r="V48" i="3"/>
  <c r="F16" i="3"/>
  <c r="F19" i="3"/>
  <c r="F15" i="3"/>
  <c r="B18" i="3"/>
  <c r="G12" i="40"/>
  <c r="J39" i="3" s="1"/>
  <c r="D14" i="3"/>
  <c r="Q12" i="40"/>
  <c r="AH68" i="62"/>
  <c r="Z68" i="62"/>
  <c r="AE49" i="62"/>
  <c r="AE68" i="62" s="1"/>
  <c r="H48" i="3"/>
  <c r="AC68" i="62"/>
  <c r="AI47" i="62"/>
  <c r="AD47" i="62"/>
  <c r="H9" i="40"/>
  <c r="K36" i="3" s="1"/>
  <c r="M14" i="40"/>
  <c r="K66" i="3" s="1"/>
  <c r="Q13" i="40"/>
  <c r="AH47" i="62"/>
  <c r="Z47" i="62"/>
  <c r="Q15" i="40"/>
  <c r="V75" i="3"/>
  <c r="P9" i="40"/>
  <c r="M61" i="3" s="1"/>
  <c r="M16" i="40"/>
  <c r="K68" i="3" s="1"/>
  <c r="G14" i="40"/>
  <c r="J41" i="3" s="1"/>
  <c r="G16" i="3"/>
  <c r="H19" i="3"/>
  <c r="L15" i="40"/>
  <c r="J67" i="3" s="1"/>
  <c r="J65" i="3"/>
  <c r="O20" i="40"/>
  <c r="L72" i="3" s="1"/>
  <c r="AA26" i="62"/>
  <c r="AF22" i="62"/>
  <c r="M20" i="40" s="1"/>
  <c r="K72" i="3" s="1"/>
  <c r="G15" i="40"/>
  <c r="J42" i="3" s="1"/>
  <c r="G18" i="40"/>
  <c r="J45" i="3" s="1"/>
  <c r="J13" i="40"/>
  <c r="L40" i="3" s="1"/>
  <c r="G9" i="40"/>
  <c r="J36" i="3" s="1"/>
  <c r="J22" i="40"/>
  <c r="L49" i="3" s="1"/>
  <c r="O22" i="40"/>
  <c r="L74" i="3" s="1"/>
  <c r="C14" i="3"/>
  <c r="AE6" i="62"/>
  <c r="Z26" i="62"/>
  <c r="AC26" i="62"/>
  <c r="AH6" i="62"/>
  <c r="AH26" i="62" s="1"/>
  <c r="L20" i="3"/>
  <c r="D20" i="3" s="1"/>
  <c r="Q18" i="40"/>
  <c r="D24" i="3"/>
  <c r="V25" i="3"/>
  <c r="AH216" i="62"/>
  <c r="AH236" i="62" s="1"/>
  <c r="AC236" i="62"/>
  <c r="AH258" i="62"/>
  <c r="AH278" i="62" s="1"/>
  <c r="AC278" i="62"/>
  <c r="AH155" i="62"/>
  <c r="AH173" i="62" s="1"/>
  <c r="AC173" i="62"/>
  <c r="AF117" i="62"/>
  <c r="M13" i="40" s="1"/>
  <c r="K65" i="3" s="1"/>
  <c r="H13" i="40"/>
  <c r="K40" i="3" s="1"/>
  <c r="AE321" i="62"/>
  <c r="AE341" i="62" s="1"/>
  <c r="Z341" i="62"/>
  <c r="I16" i="3"/>
  <c r="AH279" i="62"/>
  <c r="AH299" i="62" s="1"/>
  <c r="AC299" i="62"/>
  <c r="Q14" i="40"/>
  <c r="AI194" i="62"/>
  <c r="AF257" i="62"/>
  <c r="AI236" i="62"/>
  <c r="AI169" i="62"/>
  <c r="P20" i="40" s="1"/>
  <c r="M72" i="3" s="1"/>
  <c r="K20" i="40"/>
  <c r="M47" i="3" s="1"/>
  <c r="AI385" i="62"/>
  <c r="AI404" i="62" s="1"/>
  <c r="AD404" i="62"/>
  <c r="H14" i="40"/>
  <c r="K41" i="3" s="1"/>
  <c r="K17" i="40"/>
  <c r="M44" i="3" s="1"/>
  <c r="H17" i="40"/>
  <c r="K44" i="3" s="1"/>
  <c r="K12" i="40"/>
  <c r="M39" i="3" s="1"/>
  <c r="H16" i="40"/>
  <c r="K43" i="3" s="1"/>
  <c r="AF29" i="62"/>
  <c r="M10" i="40" s="1"/>
  <c r="K62" i="3" s="1"/>
  <c r="H10" i="40"/>
  <c r="K37" i="3" s="1"/>
  <c r="AI153" i="62"/>
  <c r="AD173" i="62"/>
  <c r="K10" i="40"/>
  <c r="M37" i="3" s="1"/>
  <c r="AC152" i="62"/>
  <c r="G11" i="3"/>
  <c r="L17" i="40"/>
  <c r="J69" i="3" s="1"/>
  <c r="AI91" i="62"/>
  <c r="K8" i="40"/>
  <c r="M35" i="3" s="1"/>
  <c r="AF258" i="62"/>
  <c r="AF278" i="62" s="1"/>
  <c r="AA278" i="62"/>
  <c r="AF183" i="62"/>
  <c r="M18" i="40" s="1"/>
  <c r="K70" i="3" s="1"/>
  <c r="H18" i="40"/>
  <c r="K45" i="3" s="1"/>
  <c r="AE259" i="62"/>
  <c r="Z278" i="62"/>
  <c r="K18" i="40"/>
  <c r="M45" i="3" s="1"/>
  <c r="K9" i="40"/>
  <c r="M36" i="3" s="1"/>
  <c r="AA257" i="62"/>
  <c r="AA236" i="62"/>
  <c r="AF216" i="62"/>
  <c r="AF236" i="62" s="1"/>
  <c r="AE174" i="62"/>
  <c r="AE194" i="62" s="1"/>
  <c r="Z194" i="62"/>
  <c r="AC341" i="62"/>
  <c r="AH321" i="62"/>
  <c r="AH341" i="62" s="1"/>
  <c r="AC257" i="62"/>
  <c r="AH241" i="62"/>
  <c r="AH257" i="62" s="1"/>
  <c r="H20" i="40"/>
  <c r="K47" i="3" s="1"/>
  <c r="AI237" i="62"/>
  <c r="AI257" i="62" s="1"/>
  <c r="AD257" i="62"/>
  <c r="AE279" i="62"/>
  <c r="AE299" i="62" s="1"/>
  <c r="Z299" i="62"/>
  <c r="AE300" i="62"/>
  <c r="AE320" i="62" s="1"/>
  <c r="Z320" i="62"/>
  <c r="AI132" i="62"/>
  <c r="AD152" i="62"/>
  <c r="AE393" i="62"/>
  <c r="AE389" i="62"/>
  <c r="L12" i="40" s="1"/>
  <c r="J64" i="3" s="1"/>
  <c r="AI299" i="62"/>
  <c r="K16" i="40"/>
  <c r="M43" i="3" s="1"/>
  <c r="AH215" i="62"/>
  <c r="AC320" i="62"/>
  <c r="AF174" i="62"/>
  <c r="H7" i="40"/>
  <c r="K34" i="3" s="1"/>
  <c r="G34" i="3" s="1"/>
  <c r="AF384" i="62"/>
  <c r="AF404" i="62" s="1"/>
  <c r="AA404" i="62"/>
  <c r="AC215" i="62"/>
  <c r="H15" i="40"/>
  <c r="K42" i="3" s="1"/>
  <c r="L18" i="40"/>
  <c r="J70" i="3" s="1"/>
  <c r="AF195" i="62"/>
  <c r="AF215" i="62" s="1"/>
  <c r="AA215" i="62"/>
  <c r="AH174" i="62"/>
  <c r="AC194" i="62"/>
  <c r="AH425" i="62"/>
  <c r="AA362" i="62"/>
  <c r="AC425" i="62"/>
  <c r="AF116" i="62"/>
  <c r="M12" i="40" s="1"/>
  <c r="K64" i="3" s="1"/>
  <c r="H12" i="40"/>
  <c r="K39" i="3" s="1"/>
  <c r="AF136" i="62"/>
  <c r="M11" i="40" s="1"/>
  <c r="K63" i="3" s="1"/>
  <c r="H11" i="40"/>
  <c r="K38" i="3" s="1"/>
  <c r="AI195" i="62"/>
  <c r="AI215" i="62" s="1"/>
  <c r="AD215" i="62"/>
  <c r="H22" i="40"/>
  <c r="K49" i="3" s="1"/>
  <c r="Z215" i="62"/>
  <c r="K22" i="40"/>
  <c r="M49" i="3" s="1"/>
  <c r="K11" i="40"/>
  <c r="M38" i="3" s="1"/>
  <c r="G19" i="40"/>
  <c r="J46" i="3" s="1"/>
  <c r="AE127" i="62"/>
  <c r="L19" i="40" s="1"/>
  <c r="J71" i="3" s="1"/>
  <c r="AD278" i="62"/>
  <c r="AI258" i="62"/>
  <c r="AI278" i="62" s="1"/>
  <c r="AF114" i="62"/>
  <c r="M9" i="40" s="1"/>
  <c r="K61" i="3" s="1"/>
  <c r="AA131" i="62"/>
  <c r="AI342" i="62"/>
  <c r="AI362" i="62" s="1"/>
  <c r="AD362" i="62"/>
  <c r="AC47" i="62"/>
  <c r="O12" i="40"/>
  <c r="L64" i="3" s="1"/>
  <c r="AA173" i="62"/>
  <c r="P11" i="40"/>
  <c r="M63" i="3" s="1"/>
  <c r="Q22" i="40"/>
  <c r="AH183" i="62"/>
  <c r="O18" i="40" s="1"/>
  <c r="L70" i="3" s="1"/>
  <c r="J18" i="40"/>
  <c r="L45" i="3" s="1"/>
  <c r="AH320" i="62"/>
  <c r="AF280" i="62"/>
  <c r="AF299" i="62" s="1"/>
  <c r="AA299" i="62"/>
  <c r="AF173" i="62"/>
  <c r="AF308" i="62"/>
  <c r="AA320" i="62"/>
  <c r="AD236" i="62"/>
  <c r="AH111" i="62"/>
  <c r="AH131" i="62" s="1"/>
  <c r="AC131" i="62"/>
  <c r="AI112" i="62"/>
  <c r="AD131" i="62"/>
  <c r="AE425" i="62"/>
  <c r="AE215" i="62"/>
  <c r="I25" i="3"/>
  <c r="I24" i="3"/>
  <c r="E24" i="3"/>
  <c r="D16" i="3"/>
  <c r="H16" i="3"/>
  <c r="Q17" i="40"/>
  <c r="AF194" i="68"/>
  <c r="AE174" i="68"/>
  <c r="AE194" i="68" s="1"/>
  <c r="Z194" i="68"/>
  <c r="AE173" i="62"/>
  <c r="AA236" i="76"/>
  <c r="AF226" i="76"/>
  <c r="AF236" i="76" s="1"/>
  <c r="H40" i="40"/>
  <c r="O44" i="3" s="1"/>
  <c r="AE223" i="68"/>
  <c r="Z236" i="68"/>
  <c r="AF111" i="68"/>
  <c r="AF131" i="68" s="1"/>
  <c r="AA131" i="68"/>
  <c r="AF217" i="68"/>
  <c r="AF236" i="68" s="1"/>
  <c r="AA236" i="68"/>
  <c r="AF259" i="68"/>
  <c r="AF278" i="68" s="1"/>
  <c r="AA278" i="68"/>
  <c r="L22" i="3"/>
  <c r="Q20" i="40"/>
  <c r="AH195" i="68"/>
  <c r="AH215" i="68" s="1"/>
  <c r="AC215" i="68"/>
  <c r="AH153" i="68"/>
  <c r="AH173" i="68" s="1"/>
  <c r="AC173" i="68"/>
  <c r="Z173" i="68"/>
  <c r="AE387" i="62"/>
  <c r="L9" i="40" s="1"/>
  <c r="J61" i="3" s="1"/>
  <c r="AE399" i="62"/>
  <c r="L22" i="40" s="1"/>
  <c r="J74" i="3" s="1"/>
  <c r="G22" i="40"/>
  <c r="J49" i="3" s="1"/>
  <c r="Z404" i="62"/>
  <c r="AE384" i="62"/>
  <c r="J54" i="40"/>
  <c r="T35" i="3" s="1"/>
  <c r="L32" i="40"/>
  <c r="N61" i="3" s="1"/>
  <c r="P18" i="3"/>
  <c r="Q39" i="40"/>
  <c r="AH194" i="68"/>
  <c r="AH384" i="62"/>
  <c r="AC404" i="62"/>
  <c r="J7" i="40"/>
  <c r="L34" i="3" s="1"/>
  <c r="AI92" i="68"/>
  <c r="AI110" i="68" s="1"/>
  <c r="AD110" i="68"/>
  <c r="AE378" i="75"/>
  <c r="Z383" i="75"/>
  <c r="G68" i="40"/>
  <c r="R49" i="3" s="1"/>
  <c r="AI28" i="68"/>
  <c r="AI47" i="68" s="1"/>
  <c r="AD47" i="68"/>
  <c r="AI197" i="68"/>
  <c r="AI215" i="68" s="1"/>
  <c r="AD215" i="68"/>
  <c r="AF307" i="68"/>
  <c r="AF320" i="68" s="1"/>
  <c r="AA320" i="68"/>
  <c r="AE195" i="68"/>
  <c r="AE215" i="68" s="1"/>
  <c r="Z215" i="68"/>
  <c r="AA110" i="68"/>
  <c r="AE386" i="62"/>
  <c r="L10" i="40" s="1"/>
  <c r="J62" i="3" s="1"/>
  <c r="G10" i="40"/>
  <c r="J37" i="3" s="1"/>
  <c r="AE391" i="62"/>
  <c r="L14" i="40" s="1"/>
  <c r="J66" i="3" s="1"/>
  <c r="AE68" i="76"/>
  <c r="AC26" i="75"/>
  <c r="AE89" i="76"/>
  <c r="L31" i="40"/>
  <c r="N60" i="3" s="1"/>
  <c r="AH49" i="76"/>
  <c r="AC68" i="76"/>
  <c r="L13" i="3"/>
  <c r="Q11" i="40"/>
  <c r="AE205" i="75"/>
  <c r="Z215" i="75"/>
  <c r="G63" i="40"/>
  <c r="R44" i="3" s="1"/>
  <c r="AH219" i="68"/>
  <c r="AH236" i="68" s="1"/>
  <c r="AC236" i="68"/>
  <c r="AI69" i="68"/>
  <c r="AI89" i="68" s="1"/>
  <c r="AD89" i="68"/>
  <c r="AI262" i="68"/>
  <c r="AI278" i="68" s="1"/>
  <c r="AD278" i="68"/>
  <c r="C22" i="3"/>
  <c r="G22" i="3"/>
  <c r="AH391" i="62"/>
  <c r="O14" i="40" s="1"/>
  <c r="L66" i="3" s="1"/>
  <c r="J14" i="40"/>
  <c r="L41" i="3" s="1"/>
  <c r="AH385" i="62"/>
  <c r="O8" i="40" s="1"/>
  <c r="L60" i="3" s="1"/>
  <c r="J8" i="40"/>
  <c r="L35" i="3" s="1"/>
  <c r="P17" i="3"/>
  <c r="Q38" i="40"/>
  <c r="AF71" i="68"/>
  <c r="AF89" i="68" s="1"/>
  <c r="AA89" i="68"/>
  <c r="AI216" i="68"/>
  <c r="AI236" i="68" s="1"/>
  <c r="AD236" i="68"/>
  <c r="J31" i="40"/>
  <c r="P35" i="3" s="1"/>
  <c r="R12" i="3"/>
  <c r="F12" i="3" s="1"/>
  <c r="B52" i="40"/>
  <c r="R8" i="3" s="1"/>
  <c r="AI425" i="76"/>
  <c r="F20" i="3"/>
  <c r="B20" i="3"/>
  <c r="AF29" i="68"/>
  <c r="AF47" i="68" s="1"/>
  <c r="AA47" i="68"/>
  <c r="AI153" i="68"/>
  <c r="AI173" i="68" s="1"/>
  <c r="AD173" i="68"/>
  <c r="AH261" i="68"/>
  <c r="AH278" i="68" s="1"/>
  <c r="AC278" i="68"/>
  <c r="B12" i="3"/>
  <c r="AH392" i="62"/>
  <c r="O15" i="40" s="1"/>
  <c r="L67" i="3" s="1"/>
  <c r="J15" i="40"/>
  <c r="L42" i="3" s="1"/>
  <c r="AF68" i="76"/>
  <c r="B19" i="3"/>
  <c r="M45" i="40"/>
  <c r="O74" i="3" s="1"/>
  <c r="G14" i="3"/>
  <c r="AF8" i="68"/>
  <c r="AF26" i="68" s="1"/>
  <c r="AA26" i="68"/>
  <c r="AF133" i="68"/>
  <c r="AF152" i="68" s="1"/>
  <c r="AA152" i="68"/>
  <c r="AC194" i="68"/>
  <c r="AI68" i="76"/>
  <c r="J10" i="40"/>
  <c r="L37" i="3" s="1"/>
  <c r="G8" i="40"/>
  <c r="J35" i="3" s="1"/>
  <c r="AE262" i="68"/>
  <c r="AE278" i="68" s="1"/>
  <c r="Z278" i="68"/>
  <c r="B11" i="3"/>
  <c r="F11" i="3"/>
  <c r="S13" i="3"/>
  <c r="U13" i="3"/>
  <c r="AI111" i="76"/>
  <c r="K30" i="40"/>
  <c r="Q34" i="3" s="1"/>
  <c r="AD131" i="76"/>
  <c r="J68" i="40"/>
  <c r="T49" i="3" s="1"/>
  <c r="AH21" i="75"/>
  <c r="O68" i="40" s="1"/>
  <c r="T74" i="3" s="1"/>
  <c r="AI240" i="68"/>
  <c r="AI257" i="68" s="1"/>
  <c r="AD257" i="68"/>
  <c r="AE236" i="68"/>
  <c r="M34" i="40"/>
  <c r="O63" i="3" s="1"/>
  <c r="AD26" i="62"/>
  <c r="M17" i="40"/>
  <c r="K69" i="3" s="1"/>
  <c r="B15" i="3"/>
  <c r="AE47" i="62"/>
  <c r="H54" i="40"/>
  <c r="S35" i="3" s="1"/>
  <c r="AF7" i="75"/>
  <c r="AA26" i="75"/>
  <c r="AE68" i="75"/>
  <c r="L53" i="40"/>
  <c r="R59" i="3" s="1"/>
  <c r="AI123" i="76"/>
  <c r="P39" i="40" s="1"/>
  <c r="Q68" i="3" s="1"/>
  <c r="K39" i="40"/>
  <c r="Q43" i="3" s="1"/>
  <c r="AF173" i="68"/>
  <c r="AF155" i="68"/>
  <c r="AA173" i="68"/>
  <c r="AI175" i="68"/>
  <c r="AI194" i="68" s="1"/>
  <c r="AD194" i="68"/>
  <c r="AF280" i="68"/>
  <c r="AF299" i="68" s="1"/>
  <c r="AA299" i="68"/>
  <c r="AF321" i="68"/>
  <c r="AF341" i="68" s="1"/>
  <c r="AA341" i="68"/>
  <c r="L36" i="40"/>
  <c r="N65" i="3" s="1"/>
  <c r="G7" i="40"/>
  <c r="J34" i="3" s="1"/>
  <c r="T18" i="3"/>
  <c r="Q62" i="40"/>
  <c r="AI8" i="68"/>
  <c r="AI26" i="68" s="1"/>
  <c r="AD26" i="68"/>
  <c r="AF237" i="68"/>
  <c r="AF257" i="68" s="1"/>
  <c r="AA257" i="68"/>
  <c r="AE396" i="62"/>
  <c r="L16" i="40" s="1"/>
  <c r="J68" i="3" s="1"/>
  <c r="G16" i="40"/>
  <c r="J43" i="3" s="1"/>
  <c r="AF112" i="76"/>
  <c r="AA131" i="76"/>
  <c r="AC341" i="68"/>
  <c r="AH321" i="68"/>
  <c r="AH341" i="68" s="1"/>
  <c r="B13" i="3"/>
  <c r="F13" i="3"/>
  <c r="AE237" i="68"/>
  <c r="AE257" i="68" s="1"/>
  <c r="Z257" i="68"/>
  <c r="AI240" i="75"/>
  <c r="AD257" i="75"/>
  <c r="K55" i="40"/>
  <c r="U36" i="3" s="1"/>
  <c r="P36" i="40"/>
  <c r="Q65" i="3" s="1"/>
  <c r="AI110" i="76"/>
  <c r="M12" i="3"/>
  <c r="Q10" i="40"/>
  <c r="M32" i="40"/>
  <c r="O61" i="3" s="1"/>
  <c r="AI112" i="68"/>
  <c r="AI131" i="68" s="1"/>
  <c r="AD131" i="68"/>
  <c r="AI132" i="68"/>
  <c r="AI152" i="68" s="1"/>
  <c r="AD152" i="68"/>
  <c r="AI285" i="68"/>
  <c r="AI299" i="68" s="1"/>
  <c r="AD299" i="68"/>
  <c r="AH394" i="62"/>
  <c r="O17" i="40" s="1"/>
  <c r="L69" i="3" s="1"/>
  <c r="J17" i="40"/>
  <c r="L44" i="3" s="1"/>
  <c r="O56" i="40"/>
  <c r="T62" i="3" s="1"/>
  <c r="G17" i="40"/>
  <c r="J44" i="3" s="1"/>
  <c r="AI47" i="76"/>
  <c r="P15" i="40"/>
  <c r="M67" i="3" s="1"/>
  <c r="Q63" i="40"/>
  <c r="AE173" i="68"/>
  <c r="AH396" i="62"/>
  <c r="O16" i="40" s="1"/>
  <c r="L68" i="3" s="1"/>
  <c r="J16" i="40"/>
  <c r="L43" i="3" s="1"/>
  <c r="AH301" i="75"/>
  <c r="AH320" i="75" s="1"/>
  <c r="AC320" i="75"/>
  <c r="J9" i="3"/>
  <c r="B6" i="40"/>
  <c r="J8" i="3" s="1"/>
  <c r="AI346" i="75"/>
  <c r="AD362" i="75"/>
  <c r="K57" i="40"/>
  <c r="U38" i="3" s="1"/>
  <c r="D12" i="3"/>
  <c r="H12" i="3"/>
  <c r="F22" i="3"/>
  <c r="B22" i="3"/>
  <c r="Z341" i="68"/>
  <c r="AE321" i="68"/>
  <c r="AE341" i="68" s="1"/>
  <c r="AH304" i="68"/>
  <c r="AH320" i="68" s="1"/>
  <c r="AC320" i="68"/>
  <c r="M18" i="3"/>
  <c r="Q16" i="40"/>
  <c r="AE388" i="62"/>
  <c r="L11" i="40" s="1"/>
  <c r="J63" i="3" s="1"/>
  <c r="G11" i="40"/>
  <c r="J38" i="3" s="1"/>
  <c r="AI278" i="75"/>
  <c r="P54" i="40"/>
  <c r="U60" i="3" s="1"/>
  <c r="O53" i="40"/>
  <c r="T59" i="3" s="1"/>
  <c r="C12" i="3"/>
  <c r="D19" i="3"/>
  <c r="AI26" i="62"/>
  <c r="P63" i="40"/>
  <c r="U69" i="3" s="1"/>
  <c r="AI26" i="75"/>
  <c r="AA194" i="68"/>
  <c r="AE322" i="75"/>
  <c r="Z341" i="75"/>
  <c r="M9" i="3"/>
  <c r="Q7" i="40"/>
  <c r="AE304" i="68"/>
  <c r="AE320" i="68" s="1"/>
  <c r="Z320" i="68"/>
  <c r="AF74" i="76"/>
  <c r="M35" i="40" s="1"/>
  <c r="O64" i="3" s="1"/>
  <c r="H35" i="40"/>
  <c r="O39" i="3" s="1"/>
  <c r="AA257" i="75"/>
  <c r="H57" i="40"/>
  <c r="S38" i="3" s="1"/>
  <c r="AF241" i="75"/>
  <c r="AI56" i="75"/>
  <c r="AD68" i="75"/>
  <c r="K61" i="40"/>
  <c r="U42" i="3" s="1"/>
  <c r="AH70" i="75"/>
  <c r="F17" i="3"/>
  <c r="B17" i="3"/>
  <c r="AI48" i="68"/>
  <c r="AI68" i="68" s="1"/>
  <c r="AD68" i="68"/>
  <c r="AF200" i="68"/>
  <c r="AF215" i="68" s="1"/>
  <c r="AA215" i="68"/>
  <c r="AD320" i="68"/>
  <c r="AI300" i="68"/>
  <c r="AI320" i="68" s="1"/>
  <c r="AI322" i="68"/>
  <c r="AI341" i="68" s="1"/>
  <c r="AD341" i="68"/>
  <c r="AH387" i="62"/>
  <c r="O9" i="40" s="1"/>
  <c r="L61" i="3" s="1"/>
  <c r="J9" i="40"/>
  <c r="L36" i="3" s="1"/>
  <c r="J20" i="40"/>
  <c r="L47" i="3" s="1"/>
  <c r="G13" i="40"/>
  <c r="J40" i="3" s="1"/>
  <c r="C68" i="3" l="1"/>
  <c r="I72" i="3"/>
  <c r="H71" i="3"/>
  <c r="AF47" i="62"/>
  <c r="V11" i="3"/>
  <c r="G72" i="3"/>
  <c r="E47" i="3"/>
  <c r="E65" i="3"/>
  <c r="I70" i="3"/>
  <c r="I71" i="3"/>
  <c r="C19" i="3"/>
  <c r="I19" i="3"/>
  <c r="V15" i="3"/>
  <c r="AH26" i="75"/>
  <c r="D49" i="3"/>
  <c r="AE26" i="75"/>
  <c r="M33" i="40"/>
  <c r="O62" i="3" s="1"/>
  <c r="C62" i="3" s="1"/>
  <c r="H29" i="40"/>
  <c r="O33" i="3" s="1"/>
  <c r="I74" i="3"/>
  <c r="Q29" i="40"/>
  <c r="H70" i="3"/>
  <c r="C70" i="3"/>
  <c r="B47" i="3"/>
  <c r="B71" i="3"/>
  <c r="B46" i="3"/>
  <c r="H65" i="3"/>
  <c r="G29" i="40"/>
  <c r="N33" i="3" s="1"/>
  <c r="V16" i="3"/>
  <c r="E41" i="3"/>
  <c r="B72" i="3"/>
  <c r="F36" i="3"/>
  <c r="E39" i="3"/>
  <c r="E70" i="3"/>
  <c r="G66" i="3"/>
  <c r="B70" i="3"/>
  <c r="B64" i="3"/>
  <c r="E44" i="3"/>
  <c r="I8" i="3"/>
  <c r="C40" i="3"/>
  <c r="E62" i="3"/>
  <c r="D72" i="3"/>
  <c r="I64" i="3"/>
  <c r="AI215" i="76"/>
  <c r="J29" i="40"/>
  <c r="P33" i="3" s="1"/>
  <c r="L38" i="40"/>
  <c r="N67" i="3" s="1"/>
  <c r="F67" i="3" s="1"/>
  <c r="M40" i="40"/>
  <c r="O69" i="3" s="1"/>
  <c r="C69" i="3" s="1"/>
  <c r="AE26" i="76"/>
  <c r="V10" i="3"/>
  <c r="E19" i="3"/>
  <c r="V19" i="3" s="1"/>
  <c r="E71" i="3"/>
  <c r="D40" i="3"/>
  <c r="F42" i="3"/>
  <c r="C45" i="3"/>
  <c r="C36" i="3"/>
  <c r="E40" i="3"/>
  <c r="V14" i="3"/>
  <c r="AF89" i="76"/>
  <c r="F39" i="3"/>
  <c r="L29" i="40"/>
  <c r="N58" i="3" s="1"/>
  <c r="E37" i="3"/>
  <c r="G71" i="3"/>
  <c r="K29" i="40"/>
  <c r="Q33" i="3" s="1"/>
  <c r="I66" i="3"/>
  <c r="P32" i="40"/>
  <c r="Q61" i="3" s="1"/>
  <c r="AI26" i="76"/>
  <c r="AF26" i="76"/>
  <c r="C42" i="3"/>
  <c r="C43" i="3"/>
  <c r="G46" i="3"/>
  <c r="C8" i="3"/>
  <c r="H64" i="3"/>
  <c r="D71" i="3"/>
  <c r="D39" i="3"/>
  <c r="E8" i="3"/>
  <c r="O10" i="40"/>
  <c r="L62" i="3" s="1"/>
  <c r="D62" i="3" s="1"/>
  <c r="E66" i="3"/>
  <c r="I41" i="3"/>
  <c r="E64" i="3"/>
  <c r="AF131" i="62"/>
  <c r="AI131" i="62"/>
  <c r="M7" i="40"/>
  <c r="K59" i="3" s="1"/>
  <c r="C59" i="3" s="1"/>
  <c r="G8" i="3"/>
  <c r="F47" i="3"/>
  <c r="F72" i="3"/>
  <c r="E69" i="3"/>
  <c r="I40" i="3"/>
  <c r="V20" i="3"/>
  <c r="B39" i="3"/>
  <c r="Q6" i="40"/>
  <c r="D65" i="3"/>
  <c r="AF26" i="62"/>
  <c r="E74" i="3"/>
  <c r="E42" i="3"/>
  <c r="C71" i="3"/>
  <c r="C46" i="3"/>
  <c r="G68" i="3"/>
  <c r="H39" i="3"/>
  <c r="H6" i="40"/>
  <c r="K33" i="3" s="1"/>
  <c r="AF194" i="62"/>
  <c r="G6" i="40"/>
  <c r="J33" i="3" s="1"/>
  <c r="L7" i="40"/>
  <c r="J59" i="3" s="1"/>
  <c r="F59" i="3" s="1"/>
  <c r="I46" i="3"/>
  <c r="E46" i="3"/>
  <c r="C66" i="3"/>
  <c r="I62" i="3"/>
  <c r="F41" i="3"/>
  <c r="H20" i="3"/>
  <c r="B45" i="3"/>
  <c r="B42" i="3"/>
  <c r="F65" i="3"/>
  <c r="AH26" i="76"/>
  <c r="O30" i="40"/>
  <c r="P59" i="3" s="1"/>
  <c r="D46" i="3"/>
  <c r="H46" i="3"/>
  <c r="I65" i="3"/>
  <c r="B41" i="3"/>
  <c r="G35" i="3"/>
  <c r="L8" i="40"/>
  <c r="J60" i="3" s="1"/>
  <c r="G45" i="3"/>
  <c r="H72" i="3"/>
  <c r="G36" i="3"/>
  <c r="B65" i="3"/>
  <c r="C72" i="3"/>
  <c r="F45" i="3"/>
  <c r="B36" i="3"/>
  <c r="H49" i="3"/>
  <c r="AE26" i="62"/>
  <c r="E72" i="3"/>
  <c r="F71" i="3"/>
  <c r="I39" i="3"/>
  <c r="G43" i="3"/>
  <c r="G38" i="3"/>
  <c r="H40" i="3"/>
  <c r="F46" i="3"/>
  <c r="J6" i="40"/>
  <c r="L33" i="3" s="1"/>
  <c r="I47" i="3"/>
  <c r="V24" i="3"/>
  <c r="G40" i="3"/>
  <c r="I44" i="3"/>
  <c r="G42" i="3"/>
  <c r="G70" i="3"/>
  <c r="C34" i="3"/>
  <c r="I37" i="3"/>
  <c r="D64" i="3"/>
  <c r="D70" i="3"/>
  <c r="F70" i="3"/>
  <c r="E35" i="3"/>
  <c r="I35" i="3"/>
  <c r="K6" i="40"/>
  <c r="M33" i="3" s="1"/>
  <c r="C49" i="3"/>
  <c r="G49" i="3"/>
  <c r="P8" i="40"/>
  <c r="M60" i="3" s="1"/>
  <c r="AE278" i="62"/>
  <c r="F64" i="3"/>
  <c r="H45" i="3"/>
  <c r="D45" i="3"/>
  <c r="AE131" i="62"/>
  <c r="AF152" i="62"/>
  <c r="G47" i="3"/>
  <c r="C47" i="3"/>
  <c r="AI110" i="62"/>
  <c r="I45" i="3"/>
  <c r="E45" i="3"/>
  <c r="C41" i="3"/>
  <c r="G41" i="3"/>
  <c r="O11" i="40"/>
  <c r="L63" i="3" s="1"/>
  <c r="P7" i="40"/>
  <c r="M59" i="3" s="1"/>
  <c r="AI152" i="62"/>
  <c r="AF320" i="62"/>
  <c r="M15" i="40"/>
  <c r="K67" i="3" s="1"/>
  <c r="AI173" i="62"/>
  <c r="I49" i="3"/>
  <c r="E49" i="3"/>
  <c r="V49" i="3" s="1"/>
  <c r="AH194" i="62"/>
  <c r="C37" i="3"/>
  <c r="G37" i="3"/>
  <c r="M8" i="40"/>
  <c r="K60" i="3" s="1"/>
  <c r="B63" i="3"/>
  <c r="F63" i="3"/>
  <c r="D67" i="3"/>
  <c r="H67" i="3"/>
  <c r="F61" i="3"/>
  <c r="B61" i="3"/>
  <c r="AE383" i="75"/>
  <c r="L68" i="40"/>
  <c r="R74" i="3" s="1"/>
  <c r="F74" i="3" s="1"/>
  <c r="G61" i="3"/>
  <c r="C61" i="3"/>
  <c r="H69" i="3"/>
  <c r="D69" i="3"/>
  <c r="I12" i="3"/>
  <c r="E12" i="3"/>
  <c r="V12" i="3" s="1"/>
  <c r="H52" i="40"/>
  <c r="S33" i="3" s="1"/>
  <c r="D74" i="3"/>
  <c r="H74" i="3"/>
  <c r="H35" i="3"/>
  <c r="D35" i="3"/>
  <c r="H18" i="3"/>
  <c r="D18" i="3"/>
  <c r="F62" i="3"/>
  <c r="B62" i="3"/>
  <c r="D68" i="3"/>
  <c r="H68" i="3"/>
  <c r="G39" i="3"/>
  <c r="C39" i="3"/>
  <c r="F44" i="3"/>
  <c r="B44" i="3"/>
  <c r="AF26" i="75"/>
  <c r="M52" i="40" s="1"/>
  <c r="S58" i="3" s="1"/>
  <c r="M54" i="40"/>
  <c r="S60" i="3" s="1"/>
  <c r="I42" i="3"/>
  <c r="C38" i="3"/>
  <c r="D43" i="3"/>
  <c r="H43" i="3"/>
  <c r="E43" i="3"/>
  <c r="I43" i="3"/>
  <c r="F35" i="3"/>
  <c r="B35" i="3"/>
  <c r="C64" i="3"/>
  <c r="G64" i="3"/>
  <c r="I68" i="3"/>
  <c r="E68" i="3"/>
  <c r="C65" i="3"/>
  <c r="G65" i="3"/>
  <c r="I34" i="3"/>
  <c r="E34" i="3"/>
  <c r="H37" i="3"/>
  <c r="D37" i="3"/>
  <c r="G52" i="40"/>
  <c r="R33" i="3" s="1"/>
  <c r="J52" i="40"/>
  <c r="T33" i="3" s="1"/>
  <c r="I69" i="3"/>
  <c r="AF257" i="75"/>
  <c r="M57" i="40"/>
  <c r="S63" i="3" s="1"/>
  <c r="C63" i="3" s="1"/>
  <c r="D44" i="3"/>
  <c r="H44" i="3"/>
  <c r="F34" i="3"/>
  <c r="B34" i="3"/>
  <c r="AI131" i="76"/>
  <c r="P30" i="40"/>
  <c r="Q59" i="3" s="1"/>
  <c r="H41" i="3"/>
  <c r="D41" i="3"/>
  <c r="AE215" i="75"/>
  <c r="L52" i="40" s="1"/>
  <c r="R58" i="3" s="1"/>
  <c r="L63" i="40"/>
  <c r="R69" i="3" s="1"/>
  <c r="G44" i="3"/>
  <c r="C44" i="3"/>
  <c r="P52" i="40"/>
  <c r="U58" i="3" s="1"/>
  <c r="AF131" i="76"/>
  <c r="M31" i="40"/>
  <c r="O60" i="3" s="1"/>
  <c r="E38" i="3"/>
  <c r="I38" i="3"/>
  <c r="I36" i="3"/>
  <c r="E36" i="3"/>
  <c r="E13" i="3"/>
  <c r="I13" i="3"/>
  <c r="H17" i="3"/>
  <c r="D17" i="3"/>
  <c r="V17" i="3" s="1"/>
  <c r="H66" i="3"/>
  <c r="D66" i="3"/>
  <c r="B38" i="3"/>
  <c r="F38" i="3"/>
  <c r="D36" i="3"/>
  <c r="H36" i="3"/>
  <c r="AH89" i="75"/>
  <c r="O52" i="40" s="1"/>
  <c r="T58" i="3" s="1"/>
  <c r="O54" i="40"/>
  <c r="T60" i="3" s="1"/>
  <c r="E9" i="3"/>
  <c r="V9" i="3" s="1"/>
  <c r="I9" i="3"/>
  <c r="F43" i="3"/>
  <c r="B43" i="3"/>
  <c r="G13" i="3"/>
  <c r="C13" i="3"/>
  <c r="H42" i="3"/>
  <c r="D42" i="3"/>
  <c r="H13" i="3"/>
  <c r="D13" i="3"/>
  <c r="B37" i="3"/>
  <c r="F37" i="3"/>
  <c r="D47" i="3"/>
  <c r="V47" i="3" s="1"/>
  <c r="H47" i="3"/>
  <c r="AI362" i="75"/>
  <c r="P57" i="40"/>
  <c r="U63" i="3" s="1"/>
  <c r="F68" i="3"/>
  <c r="B68" i="3"/>
  <c r="D34" i="3"/>
  <c r="H34" i="3"/>
  <c r="AE404" i="62"/>
  <c r="H22" i="3"/>
  <c r="D22" i="3"/>
  <c r="V22" i="3" s="1"/>
  <c r="D61" i="3"/>
  <c r="H61" i="3"/>
  <c r="P55" i="40"/>
  <c r="U61" i="3" s="1"/>
  <c r="AI257" i="75"/>
  <c r="K52" i="40"/>
  <c r="U33" i="3" s="1"/>
  <c r="AE341" i="75"/>
  <c r="L54" i="40"/>
  <c r="R60" i="3" s="1"/>
  <c r="H38" i="3"/>
  <c r="D38" i="3"/>
  <c r="E18" i="3"/>
  <c r="I18" i="3"/>
  <c r="F8" i="3"/>
  <c r="B8" i="3"/>
  <c r="H8" i="3"/>
  <c r="D8" i="3"/>
  <c r="AH68" i="76"/>
  <c r="O31" i="40"/>
  <c r="P60" i="3" s="1"/>
  <c r="C35" i="3"/>
  <c r="F40" i="3"/>
  <c r="B40" i="3"/>
  <c r="AI68" i="75"/>
  <c r="P61" i="40"/>
  <c r="U67" i="3" s="1"/>
  <c r="E67" i="3" s="1"/>
  <c r="F9" i="3"/>
  <c r="B9" i="3"/>
  <c r="G74" i="3"/>
  <c r="C74" i="3"/>
  <c r="F66" i="3"/>
  <c r="B66" i="3"/>
  <c r="AH404" i="62"/>
  <c r="O7" i="40"/>
  <c r="L59" i="3" s="1"/>
  <c r="B49" i="3"/>
  <c r="F49" i="3"/>
  <c r="V44" i="3" l="1"/>
  <c r="V65" i="3"/>
  <c r="O29" i="40"/>
  <c r="P58" i="3" s="1"/>
  <c r="P29" i="40"/>
  <c r="Q58" i="3" s="1"/>
  <c r="M6" i="40"/>
  <c r="K58" i="3" s="1"/>
  <c r="O6" i="40"/>
  <c r="L58" i="3" s="1"/>
  <c r="P6" i="40"/>
  <c r="M58" i="3" s="1"/>
  <c r="V41" i="3"/>
  <c r="D60" i="3"/>
  <c r="G62" i="3"/>
  <c r="C33" i="3"/>
  <c r="V70" i="3"/>
  <c r="V39" i="3"/>
  <c r="V72" i="3"/>
  <c r="V62" i="3"/>
  <c r="V40" i="3"/>
  <c r="D33" i="3"/>
  <c r="B67" i="3"/>
  <c r="M29" i="40"/>
  <c r="O58" i="3" s="1"/>
  <c r="V71" i="3"/>
  <c r="G69" i="3"/>
  <c r="V37" i="3"/>
  <c r="V64" i="3"/>
  <c r="V66" i="3"/>
  <c r="V8" i="3"/>
  <c r="V42" i="3"/>
  <c r="H62" i="3"/>
  <c r="G59" i="3"/>
  <c r="V69" i="3"/>
  <c r="V74" i="3"/>
  <c r="V46" i="3"/>
  <c r="B33" i="3"/>
  <c r="G33" i="3"/>
  <c r="B59" i="3"/>
  <c r="L6" i="40"/>
  <c r="J58" i="3" s="1"/>
  <c r="B58" i="3" s="1"/>
  <c r="B60" i="3"/>
  <c r="V67" i="3"/>
  <c r="H33" i="3"/>
  <c r="V36" i="3"/>
  <c r="V45" i="3"/>
  <c r="V35" i="3"/>
  <c r="V18" i="3"/>
  <c r="D63" i="3"/>
  <c r="H63" i="3"/>
  <c r="I60" i="3"/>
  <c r="E60" i="3"/>
  <c r="V60" i="3" s="1"/>
  <c r="V68" i="3"/>
  <c r="E33" i="3"/>
  <c r="C67" i="3"/>
  <c r="G67" i="3"/>
  <c r="V34" i="3"/>
  <c r="B74" i="3"/>
  <c r="E63" i="3"/>
  <c r="I63" i="3"/>
  <c r="B69" i="3"/>
  <c r="F69" i="3"/>
  <c r="V43" i="3"/>
  <c r="V38" i="3"/>
  <c r="H59" i="3"/>
  <c r="D59" i="3"/>
  <c r="I33" i="3"/>
  <c r="C60" i="3"/>
  <c r="G60" i="3"/>
  <c r="H60" i="3"/>
  <c r="F60" i="3"/>
  <c r="F33" i="3"/>
  <c r="V13" i="3"/>
  <c r="E59" i="3"/>
  <c r="I59" i="3"/>
  <c r="I67" i="3"/>
  <c r="E61" i="3"/>
  <c r="V61" i="3" s="1"/>
  <c r="I61" i="3"/>
  <c r="G63" i="3"/>
  <c r="I58" i="3" l="1"/>
  <c r="D58" i="3"/>
  <c r="E58" i="3"/>
  <c r="H58" i="3"/>
  <c r="C58" i="3"/>
  <c r="V33" i="3"/>
  <c r="G58" i="3"/>
  <c r="F58" i="3"/>
  <c r="V63" i="3"/>
  <c r="V58" i="3"/>
  <c r="V59" i="3"/>
</calcChain>
</file>

<file path=xl/sharedStrings.xml><?xml version="1.0" encoding="utf-8"?>
<sst xmlns="http://schemas.openxmlformats.org/spreadsheetml/2006/main" count="9091" uniqueCount="683">
  <si>
    <t>지적
(㎡)</t>
    <phoneticPr fontId="6" type="noConversion"/>
  </si>
  <si>
    <t>종교용지</t>
    <phoneticPr fontId="4" type="noConversion"/>
  </si>
  <si>
    <t>창고용지</t>
    <phoneticPr fontId="4" type="noConversion"/>
  </si>
  <si>
    <t>반월동</t>
    <phoneticPr fontId="4" type="noConversion"/>
  </si>
  <si>
    <t>화  성  시</t>
    <phoneticPr fontId="4" type="noConversion"/>
  </si>
  <si>
    <t>목장용지</t>
    <phoneticPr fontId="4" type="noConversion"/>
  </si>
  <si>
    <t>변     경</t>
    <phoneticPr fontId="6" type="noConversion"/>
  </si>
  <si>
    <t>지번</t>
    <phoneticPr fontId="6" type="noConversion"/>
  </si>
  <si>
    <t>지목</t>
    <phoneticPr fontId="6" type="noConversion"/>
  </si>
  <si>
    <t>편입면적
(㎡)</t>
    <phoneticPr fontId="6" type="noConversion"/>
  </si>
  <si>
    <t>등록전환
본 지 번</t>
    <phoneticPr fontId="6" type="noConversion"/>
  </si>
  <si>
    <t>63</t>
    <phoneticPr fontId="4" type="noConversion"/>
  </si>
  <si>
    <t>66</t>
    <phoneticPr fontId="4" type="noConversion"/>
  </si>
  <si>
    <t>69</t>
    <phoneticPr fontId="4" type="noConversion"/>
  </si>
  <si>
    <t>목장용지</t>
    <phoneticPr fontId="4" type="noConversion"/>
  </si>
  <si>
    <t>유지</t>
    <phoneticPr fontId="4" type="noConversion"/>
  </si>
  <si>
    <t>기타</t>
    <phoneticPr fontId="4" type="noConversion"/>
  </si>
  <si>
    <t>합계</t>
    <phoneticPr fontId="4" type="noConversion"/>
  </si>
  <si>
    <t>용인시</t>
    <phoneticPr fontId="4" type="noConversion"/>
  </si>
  <si>
    <t>계</t>
    <phoneticPr fontId="4" type="noConversion"/>
  </si>
  <si>
    <t>154</t>
    <phoneticPr fontId="4" type="noConversion"/>
  </si>
  <si>
    <t>일련
번호</t>
    <phoneticPr fontId="5" type="noConversion"/>
  </si>
  <si>
    <t>100</t>
    <phoneticPr fontId="4" type="noConversion"/>
  </si>
  <si>
    <t>구분</t>
  </si>
  <si>
    <t>계</t>
  </si>
  <si>
    <t>비고</t>
  </si>
  <si>
    <t>/</t>
  </si>
  <si>
    <t>전</t>
  </si>
  <si>
    <t>답</t>
  </si>
  <si>
    <t>대  지</t>
  </si>
  <si>
    <t>임  야</t>
  </si>
  <si>
    <t>도로</t>
  </si>
  <si>
    <t>하천</t>
  </si>
  <si>
    <t>구거</t>
  </si>
  <si>
    <t>제방</t>
  </si>
  <si>
    <t>잡종지</t>
  </si>
  <si>
    <t>묘지</t>
  </si>
  <si>
    <t>철도</t>
  </si>
  <si>
    <t>학교용지</t>
  </si>
  <si>
    <t>수도</t>
  </si>
  <si>
    <t>공장</t>
  </si>
  <si>
    <t>사  유  지</t>
  </si>
  <si>
    <t>필지</t>
  </si>
  <si>
    <t>면적(㎡)</t>
  </si>
  <si>
    <t>임야</t>
  </si>
  <si>
    <t>대지</t>
  </si>
  <si>
    <t>유지</t>
  </si>
  <si>
    <t>과수원</t>
  </si>
  <si>
    <t>소   계</t>
  </si>
  <si>
    <t>〃</t>
  </si>
  <si>
    <t>공원</t>
  </si>
  <si>
    <t>체육시설</t>
  </si>
  <si>
    <t>유지</t>
    <phoneticPr fontId="3" type="noConversion"/>
  </si>
  <si>
    <t>과수원</t>
    <phoneticPr fontId="4" type="noConversion"/>
  </si>
  <si>
    <t>철도</t>
    <phoneticPr fontId="4" type="noConversion"/>
  </si>
  <si>
    <t>수도</t>
    <phoneticPr fontId="4" type="noConversion"/>
  </si>
  <si>
    <t>기타</t>
    <phoneticPr fontId="4" type="noConversion"/>
  </si>
  <si>
    <t>국 · 공  유  지</t>
    <phoneticPr fontId="4" type="noConversion"/>
  </si>
  <si>
    <t>당초</t>
    <phoneticPr fontId="4" type="noConversion"/>
  </si>
  <si>
    <t>변경</t>
    <phoneticPr fontId="4" type="noConversion"/>
  </si>
  <si>
    <t>변경</t>
    <phoneticPr fontId="4" type="noConversion"/>
  </si>
  <si>
    <t>당초</t>
    <phoneticPr fontId="4" type="noConversion"/>
  </si>
  <si>
    <t>변경</t>
    <phoneticPr fontId="4" type="noConversion"/>
  </si>
  <si>
    <t>필지</t>
    <phoneticPr fontId="4" type="noConversion"/>
  </si>
  <si>
    <t>면적(㎡)</t>
    <phoneticPr fontId="4" type="noConversion"/>
  </si>
  <si>
    <t>편 입 용 지 집 계 표</t>
    <phoneticPr fontId="6" type="noConversion"/>
  </si>
  <si>
    <t>비  고
(증감)</t>
    <phoneticPr fontId="4" type="noConversion"/>
  </si>
  <si>
    <t>소재지</t>
    <phoneticPr fontId="6" type="noConversion"/>
  </si>
  <si>
    <t>당   초</t>
    <phoneticPr fontId="6" type="noConversion"/>
  </si>
  <si>
    <t>관 계 인</t>
    <phoneticPr fontId="6" type="noConversion"/>
  </si>
  <si>
    <t>지번</t>
    <phoneticPr fontId="6" type="noConversion"/>
  </si>
  <si>
    <t>지목</t>
    <phoneticPr fontId="6" type="noConversion"/>
  </si>
  <si>
    <t>지적</t>
    <phoneticPr fontId="6" type="noConversion"/>
  </si>
  <si>
    <t>편입면적
(㎡)</t>
    <phoneticPr fontId="6" type="noConversion"/>
  </si>
  <si>
    <t>성명</t>
  </si>
  <si>
    <t>주소</t>
  </si>
  <si>
    <t>성명</t>
    <phoneticPr fontId="6" type="noConversion"/>
  </si>
  <si>
    <t>주소</t>
    <phoneticPr fontId="6" type="noConversion"/>
  </si>
  <si>
    <t>권리관계</t>
    <phoneticPr fontId="6" type="noConversion"/>
  </si>
  <si>
    <t>목장용지</t>
    <phoneticPr fontId="4" type="noConversion"/>
  </si>
  <si>
    <t>편 입 용 지 조 서</t>
    <phoneticPr fontId="6" type="noConversion"/>
  </si>
  <si>
    <t>81</t>
    <phoneticPr fontId="4" type="noConversion"/>
  </si>
  <si>
    <t>73</t>
    <phoneticPr fontId="4" type="noConversion"/>
  </si>
  <si>
    <t>79</t>
    <phoneticPr fontId="4" type="noConversion"/>
  </si>
  <si>
    <t>84</t>
    <phoneticPr fontId="4" type="noConversion"/>
  </si>
  <si>
    <t>86</t>
    <phoneticPr fontId="4" type="noConversion"/>
  </si>
  <si>
    <t>88</t>
    <phoneticPr fontId="4" type="noConversion"/>
  </si>
  <si>
    <t>90</t>
    <phoneticPr fontId="4" type="noConversion"/>
  </si>
  <si>
    <t>92</t>
    <phoneticPr fontId="4" type="noConversion"/>
  </si>
  <si>
    <t>94</t>
    <phoneticPr fontId="4" type="noConversion"/>
  </si>
  <si>
    <t>97</t>
    <phoneticPr fontId="4" type="noConversion"/>
  </si>
  <si>
    <t>99</t>
    <phoneticPr fontId="4" type="noConversion"/>
  </si>
  <si>
    <t>161</t>
    <phoneticPr fontId="4" type="noConversion"/>
  </si>
  <si>
    <t>162</t>
    <phoneticPr fontId="4" type="noConversion"/>
  </si>
  <si>
    <t>163</t>
    <phoneticPr fontId="4" type="noConversion"/>
  </si>
  <si>
    <t>전 체 편 입 용 지 집 계 표</t>
    <phoneticPr fontId="6" type="noConversion"/>
  </si>
  <si>
    <t>국·공 유 지 편 입 용 지 집 계 표</t>
    <phoneticPr fontId="6" type="noConversion"/>
  </si>
  <si>
    <t>사 유 지 편 입 용 지 집 계 표</t>
    <phoneticPr fontId="6" type="noConversion"/>
  </si>
  <si>
    <t>비고
(증감)           (㎡)</t>
    <phoneticPr fontId="4" type="noConversion"/>
  </si>
  <si>
    <t>안성시 일죽면 방초리</t>
    <phoneticPr fontId="4" type="noConversion"/>
  </si>
  <si>
    <t>안성리 일죽면 고은리</t>
    <phoneticPr fontId="4" type="noConversion"/>
  </si>
  <si>
    <t>이천시 설성면 대죽리</t>
    <phoneticPr fontId="4" type="noConversion"/>
  </si>
  <si>
    <t>이천시 설성면 수산리</t>
    <phoneticPr fontId="4" type="noConversion"/>
  </si>
  <si>
    <t>113</t>
    <phoneticPr fontId="4" type="noConversion"/>
  </si>
  <si>
    <t>116</t>
    <phoneticPr fontId="4" type="noConversion"/>
  </si>
  <si>
    <t>117</t>
    <phoneticPr fontId="4" type="noConversion"/>
  </si>
  <si>
    <t>118</t>
    <phoneticPr fontId="4" type="noConversion"/>
  </si>
  <si>
    <t>119</t>
    <phoneticPr fontId="4" type="noConversion"/>
  </si>
  <si>
    <t>120</t>
    <phoneticPr fontId="4" type="noConversion"/>
  </si>
  <si>
    <t>124</t>
    <phoneticPr fontId="4" type="noConversion"/>
  </si>
  <si>
    <t>125</t>
    <phoneticPr fontId="4" type="noConversion"/>
  </si>
  <si>
    <t>126</t>
    <phoneticPr fontId="4" type="noConversion"/>
  </si>
  <si>
    <t>127</t>
    <phoneticPr fontId="4" type="noConversion"/>
  </si>
  <si>
    <t>128</t>
    <phoneticPr fontId="4" type="noConversion"/>
  </si>
  <si>
    <t>129</t>
    <phoneticPr fontId="4" type="noConversion"/>
  </si>
  <si>
    <t>130</t>
    <phoneticPr fontId="4" type="noConversion"/>
  </si>
  <si>
    <t>131</t>
    <phoneticPr fontId="4" type="noConversion"/>
  </si>
  <si>
    <t>132</t>
    <phoneticPr fontId="4" type="noConversion"/>
  </si>
  <si>
    <t>133</t>
    <phoneticPr fontId="4" type="noConversion"/>
  </si>
  <si>
    <t>134</t>
    <phoneticPr fontId="4" type="noConversion"/>
  </si>
  <si>
    <t>135</t>
    <phoneticPr fontId="4" type="noConversion"/>
  </si>
  <si>
    <t>136</t>
    <phoneticPr fontId="4" type="noConversion"/>
  </si>
  <si>
    <t>137</t>
    <phoneticPr fontId="4" type="noConversion"/>
  </si>
  <si>
    <t>138</t>
    <phoneticPr fontId="4" type="noConversion"/>
  </si>
  <si>
    <t>139</t>
    <phoneticPr fontId="4" type="noConversion"/>
  </si>
  <si>
    <t>140</t>
    <phoneticPr fontId="4" type="noConversion"/>
  </si>
  <si>
    <t>144</t>
    <phoneticPr fontId="4" type="noConversion"/>
  </si>
  <si>
    <t>145</t>
    <phoneticPr fontId="4" type="noConversion"/>
  </si>
  <si>
    <t>146</t>
    <phoneticPr fontId="4" type="noConversion"/>
  </si>
  <si>
    <t>147</t>
    <phoneticPr fontId="4" type="noConversion"/>
  </si>
  <si>
    <t>148</t>
    <phoneticPr fontId="4" type="noConversion"/>
  </si>
  <si>
    <t>149</t>
    <phoneticPr fontId="4" type="noConversion"/>
  </si>
  <si>
    <t>150</t>
    <phoneticPr fontId="4" type="noConversion"/>
  </si>
  <si>
    <t>151</t>
    <phoneticPr fontId="4" type="noConversion"/>
  </si>
  <si>
    <t>152</t>
    <phoneticPr fontId="4" type="noConversion"/>
  </si>
  <si>
    <t>153</t>
    <phoneticPr fontId="4" type="noConversion"/>
  </si>
  <si>
    <t>155</t>
    <phoneticPr fontId="4" type="noConversion"/>
  </si>
  <si>
    <t>156</t>
    <phoneticPr fontId="4" type="noConversion"/>
  </si>
  <si>
    <t>157</t>
    <phoneticPr fontId="4" type="noConversion"/>
  </si>
  <si>
    <t>158</t>
    <phoneticPr fontId="4" type="noConversion"/>
  </si>
  <si>
    <t>159</t>
    <phoneticPr fontId="4" type="noConversion"/>
  </si>
  <si>
    <t>160</t>
    <phoneticPr fontId="4" type="noConversion"/>
  </si>
  <si>
    <t>164</t>
    <phoneticPr fontId="4" type="noConversion"/>
  </si>
  <si>
    <t>165</t>
    <phoneticPr fontId="4" type="noConversion"/>
  </si>
  <si>
    <t>166</t>
    <phoneticPr fontId="4" type="noConversion"/>
  </si>
  <si>
    <t>167</t>
    <phoneticPr fontId="4" type="noConversion"/>
  </si>
  <si>
    <t>168</t>
    <phoneticPr fontId="4" type="noConversion"/>
  </si>
  <si>
    <t>169</t>
    <phoneticPr fontId="4" type="noConversion"/>
  </si>
  <si>
    <t>170</t>
    <phoneticPr fontId="4" type="noConversion"/>
  </si>
  <si>
    <t>171</t>
    <phoneticPr fontId="4" type="noConversion"/>
  </si>
  <si>
    <t>172</t>
    <phoneticPr fontId="4" type="noConversion"/>
  </si>
  <si>
    <t>173</t>
    <phoneticPr fontId="4" type="noConversion"/>
  </si>
  <si>
    <t>174</t>
    <phoneticPr fontId="4" type="noConversion"/>
  </si>
  <si>
    <t>175</t>
    <phoneticPr fontId="4" type="noConversion"/>
  </si>
  <si>
    <t>도</t>
  </si>
  <si>
    <t>국</t>
  </si>
  <si>
    <t>대</t>
  </si>
  <si>
    <t>85</t>
    <phoneticPr fontId="4" type="noConversion"/>
  </si>
  <si>
    <t>87</t>
    <phoneticPr fontId="4" type="noConversion"/>
  </si>
  <si>
    <t>89</t>
    <phoneticPr fontId="4" type="noConversion"/>
  </si>
  <si>
    <t>91</t>
    <phoneticPr fontId="4" type="noConversion"/>
  </si>
  <si>
    <t>93</t>
    <phoneticPr fontId="4" type="noConversion"/>
  </si>
  <si>
    <t>95</t>
    <phoneticPr fontId="4" type="noConversion"/>
  </si>
  <si>
    <t>96</t>
    <phoneticPr fontId="4" type="noConversion"/>
  </si>
  <si>
    <t>98</t>
    <phoneticPr fontId="4" type="noConversion"/>
  </si>
  <si>
    <t>104</t>
    <phoneticPr fontId="4" type="noConversion"/>
  </si>
  <si>
    <t>105</t>
    <phoneticPr fontId="4" type="noConversion"/>
  </si>
  <si>
    <t>106</t>
    <phoneticPr fontId="4" type="noConversion"/>
  </si>
  <si>
    <t>107</t>
    <phoneticPr fontId="4" type="noConversion"/>
  </si>
  <si>
    <t>108</t>
    <phoneticPr fontId="4" type="noConversion"/>
  </si>
  <si>
    <t>109</t>
    <phoneticPr fontId="4" type="noConversion"/>
  </si>
  <si>
    <t>110</t>
    <phoneticPr fontId="4" type="noConversion"/>
  </si>
  <si>
    <t>111</t>
    <phoneticPr fontId="4" type="noConversion"/>
  </si>
  <si>
    <t>78</t>
    <phoneticPr fontId="4" type="noConversion"/>
  </si>
  <si>
    <t>72</t>
    <phoneticPr fontId="4" type="noConversion"/>
  </si>
  <si>
    <t>112</t>
    <phoneticPr fontId="4" type="noConversion"/>
  </si>
  <si>
    <t>114</t>
    <phoneticPr fontId="4" type="noConversion"/>
  </si>
  <si>
    <t>115</t>
    <phoneticPr fontId="4" type="noConversion"/>
  </si>
  <si>
    <t>변     경</t>
    <phoneticPr fontId="6" type="noConversion"/>
  </si>
  <si>
    <t>등록전환
본 지 번</t>
    <phoneticPr fontId="6" type="noConversion"/>
  </si>
  <si>
    <t>지번</t>
    <phoneticPr fontId="6" type="noConversion"/>
  </si>
  <si>
    <t>지목</t>
    <phoneticPr fontId="6" type="noConversion"/>
  </si>
  <si>
    <t>지적
(㎡)</t>
    <phoneticPr fontId="6" type="noConversion"/>
  </si>
  <si>
    <t>편입면적
(㎡)</t>
    <phoneticPr fontId="6" type="noConversion"/>
  </si>
  <si>
    <t>농림축산식품부</t>
  </si>
  <si>
    <t>113</t>
    <phoneticPr fontId="4" type="noConversion"/>
  </si>
  <si>
    <t>창고용지</t>
    <phoneticPr fontId="4" type="noConversion"/>
  </si>
  <si>
    <t/>
  </si>
  <si>
    <t>국토교통부</t>
  </si>
  <si>
    <t>114</t>
    <phoneticPr fontId="4" type="noConversion"/>
  </si>
  <si>
    <t>116</t>
    <phoneticPr fontId="4" type="noConversion"/>
  </si>
  <si>
    <t>119</t>
    <phoneticPr fontId="4" type="noConversion"/>
  </si>
  <si>
    <t>120</t>
    <phoneticPr fontId="4" type="noConversion"/>
  </si>
  <si>
    <t>학교용지</t>
    <phoneticPr fontId="4" type="noConversion"/>
  </si>
  <si>
    <t>공장</t>
    <phoneticPr fontId="4" type="noConversion"/>
  </si>
  <si>
    <t>창고용지</t>
    <phoneticPr fontId="4" type="noConversion"/>
  </si>
  <si>
    <t>수도</t>
    <phoneticPr fontId="4" type="noConversion"/>
  </si>
  <si>
    <t>당초  소유자</t>
    <phoneticPr fontId="5" type="noConversion"/>
  </si>
  <si>
    <t>변경  소유자</t>
    <phoneticPr fontId="5" type="noConversion"/>
  </si>
  <si>
    <t>김병대</t>
  </si>
  <si>
    <t>302</t>
  </si>
  <si>
    <t>300-8</t>
  </si>
  <si>
    <t>300-6</t>
  </si>
  <si>
    <t>박근식</t>
  </si>
  <si>
    <t>서울 동작구 흑석동 241-13, 101호</t>
  </si>
  <si>
    <t>1132-3</t>
  </si>
  <si>
    <t>932-2</t>
  </si>
  <si>
    <t>931-2</t>
  </si>
  <si>
    <t>근저당</t>
  </si>
  <si>
    <t>문막농협</t>
  </si>
  <si>
    <t>원주시 문막읍 문막리 258</t>
  </si>
  <si>
    <t>원주시 문막읍 포진리 932</t>
  </si>
  <si>
    <t>합   계</t>
    <phoneticPr fontId="4" type="noConversion"/>
  </si>
  <si>
    <t>대곡리</t>
    <phoneticPr fontId="4" type="noConversion"/>
  </si>
  <si>
    <t>홍천군 서면</t>
    <phoneticPr fontId="4" type="noConversion"/>
  </si>
  <si>
    <t>반곡리</t>
    <phoneticPr fontId="4" type="noConversion"/>
  </si>
  <si>
    <t>홍천군 서면 대곡리</t>
    <phoneticPr fontId="4" type="noConversion"/>
  </si>
  <si>
    <t>홍천군 서면 두미리</t>
    <phoneticPr fontId="4" type="noConversion"/>
  </si>
  <si>
    <t>주유소</t>
    <phoneticPr fontId="4" type="noConversion"/>
  </si>
  <si>
    <t>주유소</t>
    <phoneticPr fontId="3" type="noConversion"/>
  </si>
  <si>
    <t>창고용지</t>
    <phoneticPr fontId="3" type="noConversion"/>
  </si>
  <si>
    <t>창육시설</t>
  </si>
  <si>
    <t>목장용지</t>
    <phoneticPr fontId="3" type="noConversion"/>
  </si>
  <si>
    <t>목장용지</t>
    <phoneticPr fontId="3" type="noConversion"/>
  </si>
  <si>
    <t>홍천군 서면 반곡리</t>
    <phoneticPr fontId="4" type="noConversion"/>
  </si>
  <si>
    <t>강원특별자치도</t>
    <phoneticPr fontId="4" type="noConversion"/>
  </si>
  <si>
    <t>홍천군 서면</t>
    <phoneticPr fontId="4" type="noConversion"/>
  </si>
  <si>
    <t>대곡리</t>
    <phoneticPr fontId="3" type="noConversion"/>
  </si>
  <si>
    <t>두미리</t>
    <phoneticPr fontId="3" type="noConversion"/>
  </si>
  <si>
    <t>반곡리</t>
    <phoneticPr fontId="4" type="noConversion"/>
  </si>
  <si>
    <t xml:space="preserve">  </t>
    <phoneticPr fontId="3" type="noConversion"/>
  </si>
  <si>
    <t>"</t>
    <phoneticPr fontId="3" type="noConversion"/>
  </si>
  <si>
    <t>"</t>
    <phoneticPr fontId="4" type="noConversion"/>
  </si>
  <si>
    <t>730-13</t>
  </si>
  <si>
    <t>김효종</t>
  </si>
  <si>
    <t>강원도 홍천군 서면 팔봉산로 10</t>
  </si>
  <si>
    <t>723-4</t>
  </si>
  <si>
    <t>724-7</t>
  </si>
  <si>
    <t>-</t>
  </si>
  <si>
    <t>727-4</t>
  </si>
  <si>
    <t>725-6</t>
  </si>
  <si>
    <t>345-4</t>
  </si>
  <si>
    <t>335-23</t>
  </si>
  <si>
    <t>335-22</t>
  </si>
  <si>
    <t>구</t>
  </si>
  <si>
    <t>345-1</t>
  </si>
  <si>
    <t>335-21</t>
  </si>
  <si>
    <t>이명신외 2인</t>
  </si>
  <si>
    <t>서울 종로구 평창동 491-5</t>
  </si>
  <si>
    <t>박오환</t>
  </si>
  <si>
    <t>345-8</t>
  </si>
  <si>
    <t>341-1</t>
  </si>
  <si>
    <t>천</t>
  </si>
  <si>
    <t>339-1</t>
  </si>
  <si>
    <t>340-6</t>
  </si>
  <si>
    <t>346-3</t>
  </si>
  <si>
    <t>340-7</t>
  </si>
  <si>
    <t>최현식</t>
  </si>
  <si>
    <t>홍천군 서면 한서로 1523</t>
  </si>
  <si>
    <t>이상익</t>
  </si>
  <si>
    <t>양명자</t>
  </si>
  <si>
    <t>서울 강동구 천호동 48-29 금우아트빌 C-301</t>
  </si>
  <si>
    <t>오봉식</t>
  </si>
  <si>
    <t>서울 강서구 방화동 319-2 치현태청그린타운 F-201호</t>
  </si>
  <si>
    <t>김성권</t>
  </si>
  <si>
    <t>서울 강동구 아리수로 82길 9(고덕동)</t>
  </si>
  <si>
    <t>기확재정부</t>
  </si>
  <si>
    <t>김대곤외 4인</t>
  </si>
  <si>
    <t>수원 영통구 망포동 683 망포마을현대2차아이파 크203동1501호</t>
  </si>
  <si>
    <t>인천광역시 서구 대평로8번길 17, 2동 101호(연희동,연희점보주택)</t>
    <phoneticPr fontId="4" type="noConversion"/>
  </si>
  <si>
    <t>인천광역시 서구 대평로8번길 17, 2동 101호(연희동,연희점보주택)</t>
    <phoneticPr fontId="4" type="noConversion"/>
  </si>
  <si>
    <t>울산 동구 전하동 670 
일산5단지아파트 144-304</t>
    <phoneticPr fontId="4" type="noConversion"/>
  </si>
  <si>
    <t>340-5</t>
  </si>
  <si>
    <t>310-4</t>
  </si>
  <si>
    <t>310-1</t>
  </si>
  <si>
    <t>312-2</t>
  </si>
  <si>
    <t>313-4</t>
  </si>
  <si>
    <t>314-3</t>
  </si>
  <si>
    <t>315-5</t>
  </si>
  <si>
    <t>316-6</t>
  </si>
  <si>
    <t>303-6</t>
  </si>
  <si>
    <t>717-4</t>
  </si>
  <si>
    <t>김대곤</t>
  </si>
  <si>
    <t>김귀례</t>
  </si>
  <si>
    <t>강원도 홍천군 서면 팔봉산로 53</t>
  </si>
  <si>
    <t>경기도 양평군 단월면 석산리 142-3</t>
  </si>
  <si>
    <t>유수호</t>
  </si>
  <si>
    <t>홍천군 서면 팔봉산로 97</t>
  </si>
  <si>
    <t>윤창균외 1인</t>
  </si>
  <si>
    <t>경기 안산시 상록구 안산천서로3길 13-1, 401호(월피동)</t>
  </si>
  <si>
    <t>박재성</t>
  </si>
  <si>
    <t>홍천군 서면 대곡리 319</t>
  </si>
  <si>
    <t>윤화종</t>
  </si>
  <si>
    <t>이광임</t>
  </si>
  <si>
    <t>경기도 양평군 용문면 다문리 324-2</t>
  </si>
  <si>
    <t>경기도 가평군 설악면 자잠로 86, 
104동 402호(북한강코아루아파트)</t>
    <phoneticPr fontId="4" type="noConversion"/>
  </si>
  <si>
    <t>717-3</t>
  </si>
  <si>
    <t>717-1</t>
  </si>
  <si>
    <t>임</t>
  </si>
  <si>
    <t>산87-2</t>
  </si>
  <si>
    <t>718-9</t>
  </si>
  <si>
    <t>산90-4</t>
  </si>
  <si>
    <t>345-6</t>
  </si>
  <si>
    <t>산90-3</t>
  </si>
  <si>
    <t>산90-2</t>
  </si>
  <si>
    <t>송기임</t>
  </si>
  <si>
    <t>경기도 구리시 인창동 607-17 2층2호</t>
  </si>
  <si>
    <t>고인선</t>
  </si>
  <si>
    <t>산91-2</t>
  </si>
  <si>
    <t>305-14</t>
  </si>
  <si>
    <t>305-17</t>
  </si>
  <si>
    <t>305-16</t>
  </si>
  <si>
    <t>305-15</t>
  </si>
  <si>
    <t>288-2</t>
  </si>
  <si>
    <t>288-5</t>
  </si>
  <si>
    <t>291-1</t>
  </si>
  <si>
    <t>289-5</t>
  </si>
  <si>
    <t>283-4</t>
  </si>
  <si>
    <t>이상우</t>
  </si>
  <si>
    <t>서울 강동구 길동 산1-1삼익파크맨션 510동 8층2호</t>
  </si>
  <si>
    <t>홍범준</t>
  </si>
  <si>
    <t>강원도 홍천군 서면 팔봉산로 85-22</t>
  </si>
  <si>
    <t>최승완</t>
  </si>
  <si>
    <t>강원도 홍천군 서면 팔봉산로 66-5</t>
  </si>
  <si>
    <t>김정평</t>
  </si>
  <si>
    <t>서울시 서초구 방배동3277 방배아이파크 402-1202</t>
  </si>
  <si>
    <t>고필주</t>
  </si>
  <si>
    <t>경기 용인시 기흥구 구성1로 28(청덕동)</t>
  </si>
  <si>
    <t>김재영</t>
  </si>
  <si>
    <t>고창선</t>
  </si>
  <si>
    <t>홍천군 서면 팔봉산로 93</t>
  </si>
  <si>
    <t>홍성군 서면 대곡리 817</t>
  </si>
  <si>
    <t>283-7</t>
  </si>
  <si>
    <t>283-6</t>
  </si>
  <si>
    <t>282-4</t>
  </si>
  <si>
    <t>282-5</t>
  </si>
  <si>
    <t>281-2</t>
  </si>
  <si>
    <t>281-1</t>
  </si>
  <si>
    <t>279-9</t>
  </si>
  <si>
    <t>276-5</t>
  </si>
  <si>
    <t>목</t>
  </si>
  <si>
    <t>276-4</t>
  </si>
  <si>
    <t>276-1</t>
  </si>
  <si>
    <t>이용산</t>
  </si>
  <si>
    <t>춘천시 남면 통곡리 245</t>
  </si>
  <si>
    <t>고정복</t>
  </si>
  <si>
    <t>홍천군 서면 대곡리 281</t>
  </si>
  <si>
    <t>고광춘</t>
  </si>
  <si>
    <t>홍천군 서면 팔봉산로 80</t>
  </si>
  <si>
    <t>이용천</t>
  </si>
  <si>
    <t>임순예</t>
  </si>
  <si>
    <t>홍천군 서면 대곡리 276</t>
  </si>
  <si>
    <t>공</t>
  </si>
  <si>
    <t>홍천군</t>
  </si>
  <si>
    <t>서울 송파구 백제고분로40길
13-22,101호(석촌동,서원연립)</t>
    <phoneticPr fontId="4" type="noConversion"/>
  </si>
  <si>
    <t>홍 천 군</t>
    <phoneticPr fontId="4" type="noConversion"/>
  </si>
  <si>
    <t>울산 동구 전하동 670 일산5단지아파트144-304</t>
    <phoneticPr fontId="4" type="noConversion"/>
  </si>
  <si>
    <r>
      <rPr>
        <sz val="9"/>
        <rFont val="굴림"/>
        <family val="3"/>
        <charset val="129"/>
      </rPr>
      <t>서울특별시 강동구 동남로65길
11-4(명일동)</t>
    </r>
  </si>
  <si>
    <t>목장용지</t>
    <phoneticPr fontId="4" type="noConversion"/>
  </si>
  <si>
    <t>203-4</t>
  </si>
  <si>
    <t>204-1</t>
  </si>
  <si>
    <t>산119-2</t>
  </si>
  <si>
    <t>산119-3</t>
  </si>
  <si>
    <t>산117-3</t>
  </si>
  <si>
    <t>산100-1</t>
  </si>
  <si>
    <t>산100</t>
  </si>
  <si>
    <t>288-1</t>
  </si>
  <si>
    <t>287-6</t>
  </si>
  <si>
    <t>287-5</t>
  </si>
  <si>
    <t>285-2</t>
  </si>
  <si>
    <t>284-6</t>
  </si>
  <si>
    <t>279-19</t>
  </si>
  <si>
    <t>202-4</t>
  </si>
  <si>
    <t>278-5</t>
  </si>
  <si>
    <t>203-6</t>
  </si>
  <si>
    <t>203-10</t>
  </si>
  <si>
    <t>203-1</t>
  </si>
  <si>
    <t>203-7</t>
  </si>
  <si>
    <t>이순효</t>
  </si>
  <si>
    <t>서울 강남구 학동로59길29-4,201호( 청담동)</t>
  </si>
  <si>
    <t>이영하</t>
  </si>
  <si>
    <t>경기도 부천시 소사구 송내동 591-5</t>
  </si>
  <si>
    <t>김찬순</t>
  </si>
  <si>
    <t>경기도 남양주시 도농동2-1 부영그린타운208-701</t>
  </si>
  <si>
    <t>권순조 외 1인</t>
  </si>
  <si>
    <t>서울특별시 관악구 인헌12길27,101호(봉천 동,산아래주택)</t>
  </si>
  <si>
    <t>김현희</t>
  </si>
  <si>
    <t>서울특별시 강동구 양재대로122가길 77(명일동)</t>
  </si>
  <si>
    <t>남봉순</t>
  </si>
  <si>
    <t>이상복외 1인</t>
  </si>
  <si>
    <t>박춘자</t>
  </si>
  <si>
    <t>경기도 의정부시 의정부동 2-20 금강캐스빌빌라104-201</t>
  </si>
  <si>
    <t>강원도 홍천군 서면 팔봉산로 80</t>
  </si>
  <si>
    <t>강신경외 1인</t>
  </si>
  <si>
    <t>홍천군 서면 팔봉산로94</t>
  </si>
  <si>
    <t>이훤수 외2인</t>
  </si>
  <si>
    <t>강원도 홍천군 서면 팔봉산로 98-7</t>
  </si>
  <si>
    <t>고광록</t>
  </si>
  <si>
    <t>인천 남구 남주길43번길 14-23(주안동)</t>
  </si>
  <si>
    <t>유근순</t>
  </si>
  <si>
    <t>서울 용산구 보광동 265-597</t>
  </si>
  <si>
    <t>박재호</t>
  </si>
  <si>
    <t>강원도 춘천시 온의동 65-10 금호타운5동701호</t>
  </si>
  <si>
    <t>강원도 춘천시 스포츠타운길535,5동 701호(온의동,금호타운)</t>
  </si>
  <si>
    <t>서울 서대문구 현저동 201
독립문극동아파트115-211</t>
    <phoneticPr fontId="4" type="noConversion"/>
  </si>
  <si>
    <t>강원도 춘천시 동면 삭주로231,108동402호( 춘천두산위브아파트)</t>
    <phoneticPr fontId="4" type="noConversion"/>
  </si>
  <si>
    <t xml:space="preserve">강 원도 </t>
    <phoneticPr fontId="4" type="noConversion"/>
  </si>
  <si>
    <t>203-9</t>
  </si>
  <si>
    <t>203-8</t>
  </si>
  <si>
    <t>203-5</t>
  </si>
  <si>
    <t>천봉사</t>
  </si>
  <si>
    <t>205-1</t>
  </si>
  <si>
    <t>신민성</t>
  </si>
  <si>
    <t>206-1</t>
  </si>
  <si>
    <t>산116-2</t>
  </si>
  <si>
    <t>허운범외 1인</t>
  </si>
  <si>
    <t>강원도 홍천군 서면 팔봉산로 118</t>
  </si>
  <si>
    <t>서울 서초구 서초동 1472-12,501</t>
  </si>
  <si>
    <r>
      <rPr>
        <sz val="9"/>
        <rFont val="굴림"/>
        <family val="3"/>
        <charset val="129"/>
      </rPr>
      <t>서울 강서구 허준로 209, 110동
408호(가양주공아파트)</t>
    </r>
  </si>
  <si>
    <t>강원도 춘천시 온의동 65-10 금호타운 5동701호</t>
    <phoneticPr fontId="4" type="noConversion"/>
  </si>
  <si>
    <t>산147-12</t>
  </si>
  <si>
    <t>산150-5</t>
  </si>
  <si>
    <t>640-2</t>
  </si>
  <si>
    <t>640-1</t>
  </si>
  <si>
    <t>산150-6</t>
  </si>
  <si>
    <t>산147-11</t>
  </si>
  <si>
    <t>산150-4</t>
  </si>
  <si>
    <t>산151-1</t>
  </si>
  <si>
    <t>산152-2</t>
  </si>
  <si>
    <t>641-3</t>
  </si>
  <si>
    <t>산153-2</t>
  </si>
  <si>
    <t>산153-3</t>
  </si>
  <si>
    <t>산155-4</t>
  </si>
  <si>
    <t>산155-2</t>
  </si>
  <si>
    <t>산155-3</t>
  </si>
  <si>
    <t>산156-4</t>
  </si>
  <si>
    <t>산150-2</t>
  </si>
  <si>
    <t>641-6</t>
  </si>
  <si>
    <t>산142-1</t>
  </si>
  <si>
    <t>유석현외 1인</t>
  </si>
  <si>
    <t>박상훈</t>
  </si>
  <si>
    <t>경기도 성남시 분당구 탄천로 35, 507동 203호 (이매동,아름마을)</t>
  </si>
  <si>
    <t>구병문</t>
  </si>
  <si>
    <t>김옥자외 2인</t>
  </si>
  <si>
    <t>진성숙</t>
  </si>
  <si>
    <t>배순조</t>
  </si>
  <si>
    <t>서울 강동구 명일동 15 삼익아파트 503동207호</t>
  </si>
  <si>
    <t>김경희</t>
  </si>
  <si>
    <t>서울 강서구 초록마을로 142, 1층(화곡동)</t>
  </si>
  <si>
    <t>이호영외 16인</t>
  </si>
  <si>
    <t>서울 성북구 하월곡동 73-59 동덕빌라202호</t>
  </si>
  <si>
    <t>이승용</t>
  </si>
  <si>
    <t>홍동운</t>
  </si>
  <si>
    <t>서울 도봉구 번동 414-5</t>
  </si>
  <si>
    <r>
      <rPr>
        <sz val="9"/>
        <rFont val="굴림"/>
        <family val="3"/>
        <charset val="129"/>
      </rPr>
      <t>서울 강동구 양재대로 1557,207호
2층(천호동,금호아파트)</t>
    </r>
  </si>
  <si>
    <t>경기 하남시 대청로 79, 103동
1401호(신장동,대명강변다운아파트)</t>
    <phoneticPr fontId="3" type="noConversion"/>
  </si>
  <si>
    <t>서울특별시 도봉구 덕릉로 350, 405동 1009호(주공4단지아파트)</t>
    <phoneticPr fontId="3" type="noConversion"/>
  </si>
  <si>
    <t>서울 양천구 신정동 1296 신정동아이파크 103-501</t>
    <phoneticPr fontId="3" type="noConversion"/>
  </si>
  <si>
    <t>경기도 남양주시 와부읍 도곡리986-1 덕소두산위브아파트109-905</t>
    <phoneticPr fontId="3" type="noConversion"/>
  </si>
  <si>
    <t>산141-1</t>
  </si>
  <si>
    <t>641-8</t>
  </si>
  <si>
    <t>641-1</t>
  </si>
  <si>
    <t>644-4</t>
  </si>
  <si>
    <t>644-1</t>
  </si>
  <si>
    <t>633-18</t>
  </si>
  <si>
    <t>633-17</t>
  </si>
  <si>
    <t>633-20</t>
  </si>
  <si>
    <t>633-19</t>
  </si>
  <si>
    <t>633-12</t>
  </si>
  <si>
    <t>633-15</t>
  </si>
  <si>
    <t>633-14</t>
  </si>
  <si>
    <t>624-5</t>
  </si>
  <si>
    <t>산156-3</t>
  </si>
  <si>
    <t>659-7</t>
  </si>
  <si>
    <t>659-8</t>
  </si>
  <si>
    <t>623-5</t>
  </si>
  <si>
    <t>621-12</t>
  </si>
  <si>
    <t>621-9</t>
  </si>
  <si>
    <t>이주헌</t>
  </si>
  <si>
    <t>서울 서초구 잠원로 213-10,5동 1005호</t>
  </si>
  <si>
    <t>서울특별시 양천구 신정동 1296 신정동아이파크103-501</t>
  </si>
  <si>
    <t>이교순</t>
  </si>
  <si>
    <t>김삼경</t>
  </si>
  <si>
    <t>주소무</t>
  </si>
  <si>
    <t>대원농원주 식회사</t>
  </si>
  <si>
    <t>홍천군 서면 팔봉산로 358</t>
  </si>
  <si>
    <t>임만식</t>
  </si>
  <si>
    <t>홍천군 서면 개야로 579-30</t>
  </si>
  <si>
    <t>박귀애</t>
  </si>
  <si>
    <t>강진희</t>
  </si>
  <si>
    <t>용인시 기흥구 기흥단지로110번길11-4, 204호(고매동)</t>
  </si>
  <si>
    <t>장재원</t>
  </si>
  <si>
    <t>대구광역시 북구 팔거천동로 52, 301동 401호(구암동,미래타운)</t>
  </si>
  <si>
    <t>서울 성북구 하월곡동 73-59 동덕빌라 -202</t>
  </si>
  <si>
    <t>신창묵</t>
  </si>
  <si>
    <t>홍천군 서면 팔봉산로 462-16</t>
  </si>
  <si>
    <t>박애란</t>
  </si>
  <si>
    <t>이병조</t>
  </si>
  <si>
    <t>홍천군 서면 두미리 621-2</t>
  </si>
  <si>
    <t>서울특별시 노원구 한글비석로14길 8, 208동 1307호(중계주공2단지아파트)</t>
    <phoneticPr fontId="3" type="noConversion"/>
  </si>
  <si>
    <t>천안시 동남구 서부대로226-12,101동2104호(신방동,한라동백2차아파트)</t>
    <phoneticPr fontId="3" type="noConversion"/>
  </si>
  <si>
    <t>서울 서대문구 포방터10길33,101동901 호(홍은동,홍은극동아파트)</t>
    <phoneticPr fontId="3" type="noConversion"/>
  </si>
  <si>
    <t>621-11</t>
  </si>
  <si>
    <t>621-10</t>
  </si>
  <si>
    <t>621-13</t>
  </si>
  <si>
    <t>557-11</t>
  </si>
  <si>
    <t>557-12</t>
  </si>
  <si>
    <t>557-10</t>
  </si>
  <si>
    <t>556-1</t>
  </si>
  <si>
    <t>555-2</t>
  </si>
  <si>
    <t>554-1</t>
  </si>
  <si>
    <t>554-3</t>
  </si>
  <si>
    <t>553-2</t>
  </si>
  <si>
    <t>552-1</t>
  </si>
  <si>
    <t>553-3</t>
  </si>
  <si>
    <t>551-4</t>
  </si>
  <si>
    <t>625-3</t>
  </si>
  <si>
    <t>552-2</t>
  </si>
  <si>
    <t>551-5</t>
  </si>
  <si>
    <t>551-3</t>
  </si>
  <si>
    <t>848-45</t>
  </si>
  <si>
    <t>장윤선</t>
  </si>
  <si>
    <t>백승보</t>
  </si>
  <si>
    <t>강원도 홍천군 서면 팔봉산로 427-28</t>
  </si>
  <si>
    <t>이종용</t>
  </si>
  <si>
    <t>성남시 분당구 궁내동 318-7</t>
  </si>
  <si>
    <t>이귀용</t>
  </si>
  <si>
    <t>강원도 춘천시 후석로 45번길 23(석사동)</t>
  </si>
  <si>
    <t>강원도 춘천시 후석로45번길 23(석사동)</t>
  </si>
  <si>
    <t>이병헌</t>
  </si>
  <si>
    <t>최대식</t>
  </si>
  <si>
    <t>홍천군 서면 팔봉산로 447</t>
  </si>
  <si>
    <t>이병용</t>
  </si>
  <si>
    <t>강원도 춘천시 효자동 616-2</t>
  </si>
  <si>
    <t>강원도 춘천시 서부대성로 198-8</t>
  </si>
  <si>
    <t>이상룡</t>
  </si>
  <si>
    <t>서울 강남구 신사동 526-8</t>
  </si>
  <si>
    <t>유팔무</t>
  </si>
  <si>
    <t>홍천군 서면 두미리 234</t>
  </si>
  <si>
    <t>경기도수원시장안구 경수대로955번길 6-2, E동 1층 101호（송죽동, 올림픽빌라）</t>
    <phoneticPr fontId="3" type="noConversion"/>
  </si>
  <si>
    <t>수원시 팔달구 세지로 233번길16-9,203호(인계동)</t>
    <phoneticPr fontId="3" type="noConversion"/>
  </si>
  <si>
    <t>서울 강동구 성내동 590 성내동삼성아파트201-1908</t>
    <phoneticPr fontId="3" type="noConversion"/>
  </si>
  <si>
    <t>목장용지</t>
    <phoneticPr fontId="3" type="noConversion"/>
  </si>
  <si>
    <t>848-46</t>
  </si>
  <si>
    <t>548-13</t>
  </si>
  <si>
    <t>548-1</t>
  </si>
  <si>
    <t>548-14</t>
  </si>
  <si>
    <t>538-15</t>
  </si>
  <si>
    <t>538-14</t>
  </si>
  <si>
    <t>538-13</t>
  </si>
  <si>
    <t>539-1</t>
  </si>
  <si>
    <t>541-1</t>
  </si>
  <si>
    <t>754-1</t>
  </si>
  <si>
    <t>509-2</t>
  </si>
  <si>
    <t>508-6</t>
  </si>
  <si>
    <t>508-1</t>
  </si>
  <si>
    <t>510-9</t>
  </si>
  <si>
    <t>510-7</t>
  </si>
  <si>
    <t>창</t>
  </si>
  <si>
    <t>510-8</t>
  </si>
  <si>
    <t>511-5</t>
  </si>
  <si>
    <t>511-9</t>
  </si>
  <si>
    <t>511-8</t>
  </si>
  <si>
    <t>512-5</t>
  </si>
  <si>
    <t>이석규</t>
  </si>
  <si>
    <t>홍천군 서면 두미리 552</t>
  </si>
  <si>
    <t>이원섭</t>
  </si>
  <si>
    <t>강병란</t>
  </si>
  <si>
    <t>윤선균</t>
  </si>
  <si>
    <t>경기도 의왕시 내손동 367-6 라성빌라 비동401호</t>
  </si>
  <si>
    <t>이익순</t>
  </si>
  <si>
    <t>강원도 홍천군 서면 팔봉산로 547-8</t>
  </si>
  <si>
    <t>최흥보</t>
  </si>
  <si>
    <t>홍천군 서면 팔봉산로 530</t>
  </si>
  <si>
    <t>이석봉</t>
  </si>
  <si>
    <t>홍천군 서면 팔봉산로 499</t>
  </si>
  <si>
    <t>홍천군 서면 두미리 508-1</t>
  </si>
  <si>
    <t>엄금순</t>
  </si>
  <si>
    <t>강원도 춘천시 후평동 680-7</t>
  </si>
  <si>
    <t>한앵자</t>
  </si>
  <si>
    <t>인천 서구 경서로35길13,403호(경 서동,평화타운)</t>
  </si>
  <si>
    <t>경기도 구리시 건원대로76길134,414-502(인창동,주공아파트)</t>
    <phoneticPr fontId="3" type="noConversion"/>
  </si>
  <si>
    <t>서울 도봉구 창동 808 동아청솔아파트 118-1306</t>
    <phoneticPr fontId="3" type="noConversion"/>
  </si>
  <si>
    <t>511-7</t>
  </si>
  <si>
    <t>512-4</t>
  </si>
  <si>
    <t>518-4</t>
  </si>
  <si>
    <t>353-1</t>
  </si>
  <si>
    <t>472-2</t>
  </si>
  <si>
    <t>455-4</t>
  </si>
  <si>
    <t>473-6</t>
  </si>
  <si>
    <t>473-7</t>
  </si>
  <si>
    <t>848-48</t>
  </si>
  <si>
    <t>548-10</t>
  </si>
  <si>
    <t>547-1</t>
  </si>
  <si>
    <t>540-1</t>
  </si>
  <si>
    <t>509-1</t>
  </si>
  <si>
    <t>518-5</t>
  </si>
  <si>
    <t>480-14</t>
  </si>
  <si>
    <t>474-8</t>
  </si>
  <si>
    <t>455-1</t>
  </si>
  <si>
    <t>475-5</t>
  </si>
  <si>
    <t>주</t>
  </si>
  <si>
    <t>정천영</t>
  </si>
  <si>
    <t>강원도 홍천군 서면 팔봉산로 538</t>
  </si>
  <si>
    <t>윤병억</t>
  </si>
  <si>
    <t>강원도 홍천군 서면 팔봉산로 412-3</t>
  </si>
  <si>
    <t>이태훈</t>
  </si>
  <si>
    <t>이숙희</t>
  </si>
  <si>
    <t>강원도 홍천군 서면 팔봉산로 475</t>
  </si>
  <si>
    <t>서홍천농업 협동조합</t>
  </si>
  <si>
    <t>홍천군 서면 두미리 480-4</t>
  </si>
  <si>
    <t>경기도 남양주시 금곡동628 신성푸른솔아파트101-1102</t>
    <phoneticPr fontId="3" type="noConversion"/>
  </si>
  <si>
    <t>454-13</t>
  </si>
  <si>
    <t>454-12</t>
  </si>
  <si>
    <t>잡</t>
  </si>
  <si>
    <t>754-6</t>
  </si>
  <si>
    <t>438-6</t>
  </si>
  <si>
    <t>438-7</t>
  </si>
  <si>
    <t>436-15</t>
  </si>
  <si>
    <t>436-25</t>
  </si>
  <si>
    <t>436-27</t>
  </si>
  <si>
    <t>436-26</t>
  </si>
  <si>
    <t>480-16</t>
  </si>
  <si>
    <t>480-15</t>
  </si>
  <si>
    <t>479-7</t>
  </si>
  <si>
    <t>479-8</t>
  </si>
  <si>
    <t>477-9</t>
  </si>
  <si>
    <t>476-11</t>
  </si>
  <si>
    <t>477-2</t>
  </si>
  <si>
    <t>477-8</t>
  </si>
  <si>
    <t>433-9</t>
  </si>
  <si>
    <t>431-1</t>
  </si>
  <si>
    <t>이효순</t>
  </si>
  <si>
    <t>홍천군 서면 두미리 453</t>
  </si>
  <si>
    <t>심재성</t>
  </si>
  <si>
    <t>홍천군 서면 두미리 450-3</t>
  </si>
  <si>
    <t>정성채</t>
  </si>
  <si>
    <t>김동필</t>
  </si>
  <si>
    <t>강원도 홍천군 서면 팔봉산로 883</t>
  </si>
  <si>
    <t>홍천군 서면 반곡리 10</t>
  </si>
  <si>
    <t>김순자</t>
  </si>
  <si>
    <t>홍천군 서면 팔봉산로 540</t>
  </si>
  <si>
    <t>이병억</t>
  </si>
  <si>
    <t>홍천군 서면 두미리 479-1</t>
  </si>
  <si>
    <t>서울 중랑구 면목동 1502 
면목아파트102-1408</t>
    <phoneticPr fontId="3" type="noConversion"/>
  </si>
  <si>
    <t>430-2</t>
    <phoneticPr fontId="3" type="noConversion"/>
  </si>
  <si>
    <t>432-1</t>
    <phoneticPr fontId="3" type="noConversion"/>
  </si>
  <si>
    <t>433-4</t>
    <phoneticPr fontId="3" type="noConversion"/>
  </si>
  <si>
    <t>433-22</t>
    <phoneticPr fontId="3" type="noConversion"/>
  </si>
  <si>
    <t>전</t>
    <phoneticPr fontId="3" type="noConversion"/>
  </si>
  <si>
    <t>대</t>
    <phoneticPr fontId="3" type="noConversion"/>
  </si>
  <si>
    <t>답</t>
    <phoneticPr fontId="3" type="noConversion"/>
  </si>
  <si>
    <t>이규화</t>
    <phoneticPr fontId="3" type="noConversion"/>
  </si>
  <si>
    <t>정천영</t>
    <phoneticPr fontId="3" type="noConversion"/>
  </si>
  <si>
    <t>이규화</t>
    <phoneticPr fontId="3" type="noConversion"/>
  </si>
  <si>
    <t>서울 송파구 석촌동 226-2
현대아파트 201-203</t>
    <phoneticPr fontId="3" type="noConversion"/>
  </si>
  <si>
    <t>강원도 홍천군 서면 팔봉산로 538</t>
    <phoneticPr fontId="3" type="noConversion"/>
  </si>
  <si>
    <t>구</t>
    <phoneticPr fontId="3" type="noConversion"/>
  </si>
  <si>
    <t>국</t>
    <phoneticPr fontId="3" type="noConversion"/>
  </si>
  <si>
    <t>국토교통부</t>
    <phoneticPr fontId="3" type="noConversion"/>
  </si>
  <si>
    <t>공</t>
    <phoneticPr fontId="4" type="noConversion"/>
  </si>
  <si>
    <t>공</t>
    <phoneticPr fontId="4" type="noConversion"/>
  </si>
  <si>
    <t>강원도</t>
    <phoneticPr fontId="4" type="noConversion"/>
  </si>
  <si>
    <t>강원도</t>
    <phoneticPr fontId="4" type="noConversion"/>
  </si>
  <si>
    <t>공</t>
    <phoneticPr fontId="4" type="noConversion"/>
  </si>
  <si>
    <t>공</t>
    <phoneticPr fontId="4" type="noConversion"/>
  </si>
  <si>
    <t>강원도</t>
    <phoneticPr fontId="4" type="noConversion"/>
  </si>
  <si>
    <t>강원도</t>
    <phoneticPr fontId="4" type="noConversion"/>
  </si>
  <si>
    <t>공</t>
    <phoneticPr fontId="4" type="noConversion"/>
  </si>
  <si>
    <t>강원도</t>
    <phoneticPr fontId="3" type="noConversion"/>
  </si>
  <si>
    <t>강원도</t>
    <phoneticPr fontId="3" type="noConversion"/>
  </si>
  <si>
    <t>강원도</t>
    <phoneticPr fontId="3" type="noConversion"/>
  </si>
  <si>
    <t>공</t>
    <phoneticPr fontId="4" type="noConversion"/>
  </si>
  <si>
    <t>강원도</t>
    <phoneticPr fontId="3" type="noConversion"/>
  </si>
  <si>
    <t>공</t>
    <phoneticPr fontId="4" type="noConversion"/>
  </si>
  <si>
    <t>강원도</t>
    <phoneticPr fontId="3" type="noConversion"/>
  </si>
  <si>
    <t>450-20</t>
    <phoneticPr fontId="3" type="noConversion"/>
  </si>
  <si>
    <t>450-20</t>
    <phoneticPr fontId="3" type="noConversion"/>
  </si>
  <si>
    <t>충청남고 천안시 동남구 서부대로 226-12,101동 2104호(신방동,한라동백2차아파트)</t>
    <phoneticPr fontId="3" type="noConversion"/>
  </si>
  <si>
    <t>433-3</t>
    <phoneticPr fontId="3" type="noConversion"/>
  </si>
  <si>
    <t>전</t>
    <phoneticPr fontId="3" type="noConversion"/>
  </si>
  <si>
    <t>정재성</t>
    <phoneticPr fontId="3" type="noConversion"/>
  </si>
  <si>
    <t>순천시 연향동 1346
동부아파트 101-1205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</si>
</sst>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  <numFmt numFmtId="178" formatCode="0_);[Red]\(0\)"/>
    <numFmt numFmtId="179" formatCode="mm&quot;월&quot;\ dd&quot;일&quot;"/>
    <numFmt numFmtId="180" formatCode="#,##0.0_);[Red]\(#,##0.0\)"/>
    <numFmt numFmtId="181" formatCode="#,##0.0_ "/>
    <numFmt numFmtId="182" formatCode="_ * #,##0_ ;_ * \-#,##0_ ;_ * &quot;-&quot;_ ;_ @_ "/>
    <numFmt numFmtId="183" formatCode="_ * #,##0.00_ ;_ * \-#,##0.00_ ;_ * &quot;-&quot;??_ ;_ @_ 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##,###;&quot;감&quot;\)##,###;"/>
    <numFmt numFmtId="187" formatCode="_-* #,##0.0_-;\-* #,##0.0_-;_-* &quot;-&quot;_-;_-@_-"/>
    <numFmt numFmtId="188" formatCode="0.0_);[Red]\(0.0\)"/>
    <numFmt numFmtId="189" formatCode="_-* #,##0.0_-;\-* #,##0.0_-;_-* &quot;-&quot;?_-;_-@_-"/>
  </numFmts>
  <fonts count="72" x14ac:knownFonts="1"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1"/>
      <name val="돋움"/>
      <family val="3"/>
      <charset val="129"/>
    </font>
    <font>
      <sz val="10"/>
      <name val="바탕체"/>
      <family val="1"/>
      <charset val="129"/>
    </font>
    <font>
      <b/>
      <u/>
      <sz val="20"/>
      <name val="돋움"/>
      <family val="3"/>
      <charset val="129"/>
    </font>
    <font>
      <b/>
      <sz val="21"/>
      <name val="휴먼옛체"/>
      <family val="1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sz val="11"/>
      <name val="돋움"/>
      <family val="3"/>
      <charset val="129"/>
    </font>
    <font>
      <b/>
      <sz val="18"/>
      <name val="휴먼옛체"/>
      <family val="1"/>
      <charset val="129"/>
    </font>
    <font>
      <b/>
      <u/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b/>
      <sz val="9"/>
      <name val="돋움"/>
      <family val="3"/>
      <charset val="129"/>
    </font>
    <font>
      <sz val="9"/>
      <color indexed="12"/>
      <name val="돋움"/>
      <family val="3"/>
      <charset val="129"/>
    </font>
    <font>
      <sz val="9"/>
      <name val="굴림체"/>
      <family val="3"/>
      <charset val="129"/>
    </font>
    <font>
      <sz val="9"/>
      <color indexed="10"/>
      <name val="굴림체"/>
      <family val="3"/>
      <charset val="129"/>
    </font>
    <font>
      <b/>
      <sz val="20"/>
      <name val="휴먼옛체"/>
      <family val="1"/>
      <charset val="129"/>
    </font>
    <font>
      <b/>
      <u/>
      <sz val="11"/>
      <name val="돋움"/>
      <family val="3"/>
      <charset val="129"/>
    </font>
    <font>
      <b/>
      <sz val="9"/>
      <name val="굴림체"/>
      <family val="3"/>
      <charset val="129"/>
    </font>
    <font>
      <sz val="11"/>
      <name val="굴림체"/>
      <family val="3"/>
      <charset val="129"/>
    </font>
    <font>
      <sz val="9"/>
      <color indexed="12"/>
      <name val="굴림체"/>
      <family val="3"/>
      <charset val="129"/>
    </font>
    <font>
      <b/>
      <sz val="22"/>
      <name val="휴먼옛체"/>
      <family val="1"/>
      <charset val="129"/>
    </font>
    <font>
      <b/>
      <sz val="18"/>
      <name val="굴림"/>
      <family val="3"/>
      <charset val="129"/>
    </font>
    <font>
      <b/>
      <sz val="20"/>
      <name val="굴림"/>
      <family val="3"/>
      <charset val="129"/>
    </font>
    <font>
      <b/>
      <sz val="11"/>
      <name val="굴림체"/>
      <family val="3"/>
      <charset val="129"/>
    </font>
    <font>
      <sz val="11"/>
      <name val="굴림"/>
      <family val="3"/>
      <charset val="129"/>
    </font>
    <font>
      <sz val="7"/>
      <name val="굴림체"/>
      <family val="3"/>
      <charset val="129"/>
    </font>
    <font>
      <sz val="9"/>
      <color indexed="10"/>
      <name val="돋움"/>
      <family val="3"/>
      <charset val="129"/>
    </font>
    <font>
      <sz val="8"/>
      <name val="굴림체"/>
      <family val="3"/>
      <charset val="129"/>
    </font>
    <font>
      <sz val="6"/>
      <name val="굴림체"/>
      <family val="3"/>
      <charset val="129"/>
    </font>
    <font>
      <b/>
      <sz val="10"/>
      <name val="굴림체"/>
      <family val="3"/>
      <charset val="129"/>
    </font>
    <font>
      <sz val="4"/>
      <name val="굴림체"/>
      <family val="3"/>
      <charset val="129"/>
    </font>
    <font>
      <sz val="5"/>
      <name val="굴림체"/>
      <family val="3"/>
      <charset val="129"/>
    </font>
    <font>
      <b/>
      <sz val="14"/>
      <name val="휴먼옛체"/>
      <family val="1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9"/>
      <color indexed="10"/>
      <name val="굴림"/>
      <family val="3"/>
      <charset val="129"/>
    </font>
    <font>
      <sz val="14"/>
      <name val="돋움"/>
      <family val="3"/>
      <charset val="129"/>
    </font>
    <font>
      <sz val="9"/>
      <color indexed="12"/>
      <name val="굴림"/>
      <family val="3"/>
      <charset val="129"/>
    </font>
    <font>
      <sz val="8"/>
      <name val="굴림"/>
      <family val="3"/>
      <charset val="129"/>
    </font>
    <font>
      <sz val="6"/>
      <name val="굴림"/>
      <family val="3"/>
      <charset val="129"/>
    </font>
    <font>
      <sz val="7"/>
      <name val="굴림"/>
      <family val="3"/>
      <charset val="129"/>
    </font>
    <font>
      <sz val="4"/>
      <name val="굴림"/>
      <family val="3"/>
      <charset val="129"/>
    </font>
    <font>
      <sz val="5"/>
      <name val="굴림"/>
      <family val="3"/>
      <charset val="129"/>
    </font>
    <font>
      <sz val="11"/>
      <color rgb="FFFF000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9"/>
      <color rgb="FFFF0000"/>
      <name val="굴림체"/>
      <family val="3"/>
      <charset val="129"/>
    </font>
    <font>
      <sz val="9"/>
      <color rgb="FFC00000"/>
      <name val="굴림체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rgb="FFFF0000"/>
      <name val="돋움"/>
      <family val="3"/>
      <charset val="129"/>
    </font>
    <font>
      <sz val="9"/>
      <color rgb="FFFF0000"/>
      <name val="돋움"/>
      <family val="3"/>
      <charset val="129"/>
    </font>
    <font>
      <sz val="7"/>
      <color rgb="FFFF0000"/>
      <name val="굴림체"/>
      <family val="3"/>
      <charset val="129"/>
    </font>
    <font>
      <sz val="4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sz val="6"/>
      <color rgb="FFFF0000"/>
      <name val="굴림체"/>
      <family val="3"/>
      <charset val="129"/>
    </font>
    <font>
      <sz val="3"/>
      <color rgb="FFFF0000"/>
      <name val="굴림체"/>
      <family val="3"/>
      <charset val="129"/>
    </font>
    <font>
      <sz val="5"/>
      <color rgb="FFFF0000"/>
      <name val="굴림체"/>
      <family val="3"/>
      <charset val="129"/>
    </font>
    <font>
      <b/>
      <sz val="9"/>
      <color rgb="FFFF0000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rgb="FFC00000"/>
      <name val="굴림"/>
      <family val="3"/>
      <charset val="129"/>
    </font>
    <font>
      <sz val="8"/>
      <color rgb="FFFF0000"/>
      <name val="굴림"/>
      <family val="3"/>
      <charset val="129"/>
    </font>
    <font>
      <sz val="5"/>
      <color rgb="FFFF0000"/>
      <name val="굴림"/>
      <family val="3"/>
      <charset val="129"/>
    </font>
    <font>
      <sz val="4"/>
      <color rgb="FFFF0000"/>
      <name val="굴림"/>
      <family val="3"/>
      <charset val="129"/>
    </font>
    <font>
      <sz val="7"/>
      <color rgb="FFFF0000"/>
      <name val="굴림"/>
      <family val="3"/>
      <charset val="129"/>
    </font>
    <font>
      <sz val="9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3">
    <xf numFmtId="0" fontId="0" fillId="0" borderId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0" fontId="17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5" fillId="0" borderId="0"/>
    <xf numFmtId="0" fontId="5" fillId="0" borderId="0"/>
  </cellStyleXfs>
  <cellXfs count="1245">
    <xf numFmtId="0" fontId="0" fillId="0" borderId="0" xfId="0"/>
    <xf numFmtId="0" fontId="7" fillId="0" borderId="0" xfId="11" applyFont="1" applyAlignment="1" applyProtection="1">
      <alignment horizontal="centerContinuous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177" fontId="11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77" fontId="11" fillId="0" borderId="0" xfId="0" applyNumberFormat="1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right" vertical="center"/>
      <protection locked="0"/>
    </xf>
    <xf numFmtId="176" fontId="11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177" fontId="9" fillId="0" borderId="0" xfId="0" applyNumberFormat="1" applyFont="1" applyAlignment="1">
      <alignment horizontal="centerContinuous" vertical="center"/>
    </xf>
    <xf numFmtId="177" fontId="9" fillId="0" borderId="0" xfId="0" applyNumberFormat="1" applyFont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Continuous" vertical="center"/>
    </xf>
    <xf numFmtId="177" fontId="2" fillId="0" borderId="0" xfId="0" applyNumberFormat="1" applyFont="1" applyAlignment="1">
      <alignment horizontal="center" vertical="center"/>
    </xf>
    <xf numFmtId="177" fontId="15" fillId="0" borderId="9" xfId="0" applyNumberFormat="1" applyFont="1" applyBorder="1" applyAlignment="1">
      <alignment horizontal="centerContinuous" vertical="center"/>
    </xf>
    <xf numFmtId="177" fontId="15" fillId="0" borderId="10" xfId="0" applyNumberFormat="1" applyFont="1" applyBorder="1" applyAlignment="1">
      <alignment horizontal="center" vertical="center"/>
    </xf>
    <xf numFmtId="177" fontId="15" fillId="0" borderId="11" xfId="12" applyNumberFormat="1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177" fontId="15" fillId="0" borderId="13" xfId="12" applyNumberFormat="1" applyFont="1" applyBorder="1" applyAlignment="1">
      <alignment horizontal="center" vertical="center"/>
    </xf>
    <xf numFmtId="177" fontId="9" fillId="0" borderId="14" xfId="12" applyNumberFormat="1" applyFont="1" applyBorder="1" applyAlignment="1">
      <alignment horizontal="center" vertical="center"/>
    </xf>
    <xf numFmtId="177" fontId="9" fillId="0" borderId="15" xfId="12" applyNumberFormat="1" applyFont="1" applyBorder="1" applyAlignment="1">
      <alignment horizontal="center" vertical="center"/>
    </xf>
    <xf numFmtId="177" fontId="9" fillId="0" borderId="16" xfId="12" applyNumberFormat="1" applyFont="1" applyBorder="1" applyAlignment="1">
      <alignment horizontal="center" vertical="center"/>
    </xf>
    <xf numFmtId="177" fontId="9" fillId="0" borderId="17" xfId="12" applyNumberFormat="1" applyFont="1" applyBorder="1" applyAlignment="1">
      <alignment horizontal="center" vertical="center"/>
    </xf>
    <xf numFmtId="177" fontId="15" fillId="0" borderId="14" xfId="12" applyNumberFormat="1" applyFont="1" applyBorder="1" applyAlignment="1">
      <alignment horizontal="center" vertical="center"/>
    </xf>
    <xf numFmtId="177" fontId="15" fillId="0" borderId="15" xfId="12" applyNumberFormat="1" applyFont="1" applyBorder="1" applyAlignment="1">
      <alignment horizontal="center" vertical="center"/>
    </xf>
    <xf numFmtId="177" fontId="15" fillId="0" borderId="18" xfId="0" applyNumberFormat="1" applyFont="1" applyBorder="1" applyAlignment="1">
      <alignment horizontal="center" vertical="center"/>
    </xf>
    <xf numFmtId="177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16" xfId="12" applyNumberFormat="1" applyFont="1" applyBorder="1" applyAlignment="1">
      <alignment horizontal="center" vertical="center"/>
    </xf>
    <xf numFmtId="177" fontId="15" fillId="0" borderId="17" xfId="12" applyNumberFormat="1" applyFont="1" applyBorder="1" applyAlignment="1">
      <alignment horizontal="center" vertical="center"/>
    </xf>
    <xf numFmtId="0" fontId="13" fillId="0" borderId="0" xfId="11" applyFont="1" applyAlignment="1" applyProtection="1">
      <alignment horizontal="centerContinuous" vertical="center"/>
    </xf>
    <xf numFmtId="49" fontId="19" fillId="0" borderId="0" xfId="0" applyNumberFormat="1" applyFont="1" applyAlignment="1" applyProtection="1">
      <alignment horizontal="center" vertical="center"/>
      <protection locked="0"/>
    </xf>
    <xf numFmtId="177" fontId="19" fillId="0" borderId="0" xfId="0" applyNumberFormat="1" applyFont="1" applyBorder="1" applyAlignment="1" applyProtection="1">
      <alignment horizontal="center" vertical="center" wrapText="1"/>
      <protection locked="0"/>
    </xf>
    <xf numFmtId="177" fontId="19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5" fillId="0" borderId="8" xfId="0" applyNumberFormat="1" applyFont="1" applyBorder="1" applyAlignment="1">
      <alignment horizontal="center" vertical="center"/>
    </xf>
    <xf numFmtId="0" fontId="20" fillId="0" borderId="0" xfId="11" applyFont="1" applyAlignment="1" applyProtection="1">
      <alignment horizontal="right" vertical="center"/>
    </xf>
    <xf numFmtId="177" fontId="15" fillId="0" borderId="16" xfId="0" applyNumberFormat="1" applyFont="1" applyBorder="1" applyAlignment="1">
      <alignment horizontal="center" vertical="center"/>
    </xf>
    <xf numFmtId="177" fontId="15" fillId="0" borderId="11" xfId="0" applyNumberFormat="1" applyFont="1" applyBorder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4" fillId="0" borderId="19" xfId="0" applyNumberFormat="1" applyFont="1" applyBorder="1" applyAlignment="1">
      <alignment horizontal="centerContinuous" vertical="center"/>
    </xf>
    <xf numFmtId="177" fontId="15" fillId="0" borderId="19" xfId="0" applyNumberFormat="1" applyFont="1" applyBorder="1" applyAlignment="1">
      <alignment horizontal="left" vertical="center"/>
    </xf>
    <xf numFmtId="0" fontId="20" fillId="0" borderId="19" xfId="11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49" fontId="20" fillId="0" borderId="0" xfId="0" applyNumberFormat="1" applyFont="1" applyAlignment="1" applyProtection="1">
      <alignment horizontal="center" vertical="center"/>
    </xf>
    <xf numFmtId="49" fontId="21" fillId="0" borderId="0" xfId="0" applyNumberFormat="1" applyFont="1" applyAlignment="1" applyProtection="1">
      <alignment horizontal="center" vertical="center"/>
    </xf>
    <xf numFmtId="0" fontId="24" fillId="0" borderId="0" xfId="0" applyNumberFormat="1" applyFont="1" applyBorder="1" applyAlignment="1">
      <alignment vertical="center"/>
    </xf>
    <xf numFmtId="49" fontId="25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0" fillId="0" borderId="0" xfId="11" applyFont="1" applyBorder="1" applyAlignment="1" applyProtection="1">
      <alignment horizontal="center" vertical="center"/>
    </xf>
    <xf numFmtId="177" fontId="20" fillId="0" borderId="0" xfId="11" applyNumberFormat="1" applyFont="1" applyBorder="1" applyAlignment="1" applyProtection="1">
      <alignment horizontal="center" vertical="center" wrapText="1"/>
    </xf>
    <xf numFmtId="177" fontId="20" fillId="0" borderId="0" xfId="0" applyNumberFormat="1" applyFont="1" applyBorder="1" applyAlignment="1" applyProtection="1">
      <alignment horizontal="center" vertical="center" wrapText="1"/>
      <protection locked="0"/>
    </xf>
    <xf numFmtId="177" fontId="26" fillId="0" borderId="0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177" fontId="20" fillId="0" borderId="0" xfId="0" applyNumberFormat="1" applyFont="1" applyBorder="1" applyAlignment="1" applyProtection="1">
      <alignment horizontal="center" vertical="center" wrapText="1"/>
    </xf>
    <xf numFmtId="177" fontId="26" fillId="0" borderId="0" xfId="0" applyNumberFormat="1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</xf>
    <xf numFmtId="0" fontId="20" fillId="0" borderId="0" xfId="0" applyNumberFormat="1" applyFont="1" applyBorder="1" applyAlignment="1" applyProtection="1">
      <alignment horizontal="center" vertical="center"/>
    </xf>
    <xf numFmtId="41" fontId="20" fillId="0" borderId="0" xfId="6" applyNumberFormat="1" applyFont="1" applyBorder="1" applyAlignment="1" applyProtection="1">
      <alignment horizontal="center" vertical="center"/>
    </xf>
    <xf numFmtId="0" fontId="20" fillId="0" borderId="0" xfId="0" applyNumberFormat="1" applyFont="1" applyBorder="1" applyAlignment="1" applyProtection="1">
      <alignment horizontal="center" vertical="center" wrapText="1"/>
    </xf>
    <xf numFmtId="49" fontId="20" fillId="0" borderId="20" xfId="0" applyNumberFormat="1" applyFont="1" applyBorder="1" applyAlignment="1" applyProtection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7" fontId="15" fillId="0" borderId="21" xfId="0" applyNumberFormat="1" applyFont="1" applyBorder="1" applyAlignment="1">
      <alignment horizontal="center" vertical="center"/>
    </xf>
    <xf numFmtId="177" fontId="9" fillId="0" borderId="22" xfId="12" applyNumberFormat="1" applyFont="1" applyBorder="1" applyAlignment="1">
      <alignment horizontal="center" vertical="center"/>
    </xf>
    <xf numFmtId="177" fontId="9" fillId="0" borderId="18" xfId="0" applyNumberFormat="1" applyFont="1" applyBorder="1" applyAlignment="1">
      <alignment horizontal="center" vertical="center"/>
    </xf>
    <xf numFmtId="177" fontId="9" fillId="0" borderId="23" xfId="12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186" fontId="9" fillId="0" borderId="7" xfId="0" applyNumberFormat="1" applyFont="1" applyBorder="1" applyAlignment="1">
      <alignment horizontal="center" vertical="center"/>
    </xf>
    <xf numFmtId="186" fontId="15" fillId="0" borderId="10" xfId="0" applyNumberFormat="1" applyFont="1" applyBorder="1" applyAlignment="1">
      <alignment horizontal="center" vertical="center"/>
    </xf>
    <xf numFmtId="177" fontId="15" fillId="0" borderId="25" xfId="0" applyNumberFormat="1" applyFont="1" applyBorder="1" applyAlignment="1">
      <alignment horizontal="center" vertical="center"/>
    </xf>
    <xf numFmtId="177" fontId="15" fillId="0" borderId="9" xfId="12" applyNumberFormat="1" applyFont="1" applyBorder="1" applyAlignment="1">
      <alignment horizontal="center" vertical="center"/>
    </xf>
    <xf numFmtId="177" fontId="9" fillId="0" borderId="26" xfId="12" applyNumberFormat="1" applyFont="1" applyBorder="1" applyAlignment="1">
      <alignment horizontal="center" vertical="center"/>
    </xf>
    <xf numFmtId="177" fontId="9" fillId="0" borderId="25" xfId="12" applyNumberFormat="1" applyFont="1" applyBorder="1" applyAlignment="1">
      <alignment horizontal="center" vertical="center"/>
    </xf>
    <xf numFmtId="177" fontId="15" fillId="0" borderId="26" xfId="12" applyNumberFormat="1" applyFont="1" applyBorder="1" applyAlignment="1">
      <alignment horizontal="center" vertical="center"/>
    </xf>
    <xf numFmtId="177" fontId="15" fillId="0" borderId="25" xfId="12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/>
    </xf>
    <xf numFmtId="177" fontId="18" fillId="0" borderId="9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/>
    </xf>
    <xf numFmtId="177" fontId="18" fillId="0" borderId="28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11" applyFont="1" applyBorder="1" applyAlignment="1" applyProtection="1">
      <alignment horizontal="centerContinuous" vertical="center"/>
    </xf>
    <xf numFmtId="41" fontId="20" fillId="0" borderId="4" xfId="6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 applyProtection="1">
      <alignment horizontal="center" vertical="center"/>
    </xf>
    <xf numFmtId="0" fontId="22" fillId="0" borderId="0" xfId="11" applyFont="1" applyBorder="1" applyAlignment="1" applyProtection="1">
      <alignment horizontal="centerContinuous" vertical="center"/>
    </xf>
    <xf numFmtId="0" fontId="27" fillId="0" borderId="0" xfId="11" applyFont="1" applyBorder="1" applyAlignment="1" applyProtection="1">
      <alignment horizontal="centerContinuous" vertical="center"/>
    </xf>
    <xf numFmtId="0" fontId="28" fillId="0" borderId="0" xfId="0" applyFont="1" applyBorder="1" applyAlignment="1">
      <alignment horizontal="centerContinuous" vertical="center" wrapText="1"/>
    </xf>
    <xf numFmtId="0" fontId="29" fillId="0" borderId="0" xfId="0" applyFont="1" applyBorder="1" applyAlignment="1">
      <alignment horizontal="centerContinuous" vertical="center" wrapText="1"/>
    </xf>
    <xf numFmtId="41" fontId="29" fillId="0" borderId="0" xfId="6" applyFont="1" applyBorder="1" applyAlignment="1">
      <alignment horizontal="centerContinuous" vertical="center" wrapText="1"/>
    </xf>
    <xf numFmtId="0" fontId="23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41" fontId="2" fillId="0" borderId="0" xfId="6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30" fillId="0" borderId="0" xfId="11" applyFont="1" applyBorder="1" applyAlignment="1" applyProtection="1">
      <alignment vertical="center"/>
    </xf>
    <xf numFmtId="49" fontId="20" fillId="0" borderId="0" xfId="0" applyNumberFormat="1" applyFont="1" applyBorder="1" applyAlignment="1" applyProtection="1">
      <alignment horizontal="center" vertical="center" wrapText="1"/>
    </xf>
    <xf numFmtId="0" fontId="20" fillId="0" borderId="4" xfId="11" applyFont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176" fontId="20" fillId="0" borderId="4" xfId="0" applyNumberFormat="1" applyFont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49" fontId="20" fillId="0" borderId="4" xfId="11" applyNumberFormat="1" applyFont="1" applyBorder="1" applyAlignment="1" applyProtection="1">
      <alignment horizontal="center" vertical="center" wrapText="1"/>
    </xf>
    <xf numFmtId="176" fontId="20" fillId="0" borderId="4" xfId="0" applyNumberFormat="1" applyFont="1" applyBorder="1" applyAlignment="1">
      <alignment horizontal="right" vertical="center"/>
    </xf>
    <xf numFmtId="176" fontId="20" fillId="0" borderId="4" xfId="0" quotePrefix="1" applyNumberFormat="1" applyFont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center" vertical="center" wrapText="1"/>
    </xf>
    <xf numFmtId="188" fontId="15" fillId="0" borderId="13" xfId="12" applyNumberFormat="1" applyFont="1" applyBorder="1" applyAlignment="1">
      <alignment horizontal="center" vertical="center"/>
    </xf>
    <xf numFmtId="188" fontId="9" fillId="0" borderId="15" xfId="12" applyNumberFormat="1" applyFont="1" applyBorder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/>
    </xf>
    <xf numFmtId="1" fontId="20" fillId="0" borderId="4" xfId="0" applyNumberFormat="1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right" vertical="center"/>
    </xf>
    <xf numFmtId="41" fontId="20" fillId="0" borderId="4" xfId="6" applyNumberFormat="1" applyFont="1" applyFill="1" applyBorder="1" applyAlignment="1">
      <alignment horizontal="right" vertical="center"/>
    </xf>
    <xf numFmtId="49" fontId="20" fillId="0" borderId="4" xfId="0" applyNumberFormat="1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 applyProtection="1">
      <alignment horizontal="center" vertical="center" wrapText="1"/>
    </xf>
    <xf numFmtId="0" fontId="20" fillId="0" borderId="30" xfId="11" applyFont="1" applyBorder="1" applyAlignment="1" applyProtection="1">
      <alignment horizontal="center" vertical="center" wrapText="1"/>
    </xf>
    <xf numFmtId="49" fontId="20" fillId="0" borderId="31" xfId="0" applyNumberFormat="1" applyFont="1" applyFill="1" applyBorder="1" applyAlignment="1">
      <alignment horizontal="center" vertical="center"/>
    </xf>
    <xf numFmtId="1" fontId="20" fillId="0" borderId="31" xfId="0" applyNumberFormat="1" applyFont="1" applyFill="1" applyBorder="1" applyAlignment="1">
      <alignment horizontal="center" vertical="center"/>
    </xf>
    <xf numFmtId="176" fontId="20" fillId="0" borderId="31" xfId="0" applyNumberFormat="1" applyFont="1" applyFill="1" applyBorder="1" applyAlignment="1">
      <alignment horizontal="right" vertical="center"/>
    </xf>
    <xf numFmtId="41" fontId="20" fillId="0" borderId="31" xfId="6" applyNumberFormat="1" applyFont="1" applyFill="1" applyBorder="1" applyAlignment="1">
      <alignment horizontal="right" vertical="center"/>
    </xf>
    <xf numFmtId="1" fontId="20" fillId="0" borderId="31" xfId="0" applyNumberFormat="1" applyFont="1" applyFill="1" applyBorder="1" applyAlignment="1">
      <alignment horizontal="center" vertical="center" wrapText="1"/>
    </xf>
    <xf numFmtId="49" fontId="20" fillId="0" borderId="31" xfId="0" applyNumberFormat="1" applyFont="1" applyFill="1" applyBorder="1" applyAlignment="1" applyProtection="1">
      <alignment horizontal="center" vertical="center"/>
    </xf>
    <xf numFmtId="0" fontId="20" fillId="0" borderId="32" xfId="11" applyFont="1" applyBorder="1" applyAlignment="1" applyProtection="1">
      <alignment horizontal="center" vertical="center" wrapText="1"/>
    </xf>
    <xf numFmtId="0" fontId="20" fillId="0" borderId="33" xfId="11" applyFont="1" applyBorder="1" applyAlignment="1" applyProtection="1">
      <alignment horizontal="centerContinuous" vertical="center"/>
    </xf>
    <xf numFmtId="0" fontId="20" fillId="0" borderId="34" xfId="11" applyFont="1" applyBorder="1" applyAlignment="1" applyProtection="1">
      <alignment horizontal="centerContinuous" vertical="center"/>
    </xf>
    <xf numFmtId="41" fontId="20" fillId="0" borderId="34" xfId="6" applyNumberFormat="1" applyFont="1" applyBorder="1" applyAlignment="1">
      <alignment horizontal="center" vertical="center"/>
    </xf>
    <xf numFmtId="1" fontId="20" fillId="0" borderId="34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 applyProtection="1">
      <alignment horizontal="center" vertical="center"/>
    </xf>
    <xf numFmtId="49" fontId="20" fillId="0" borderId="31" xfId="0" applyNumberFormat="1" applyFont="1" applyFill="1" applyBorder="1" applyAlignment="1" applyProtection="1">
      <alignment horizontal="center" vertical="center" wrapText="1"/>
    </xf>
    <xf numFmtId="49" fontId="35" fillId="0" borderId="4" xfId="0" applyNumberFormat="1" applyFont="1" applyFill="1" applyBorder="1" applyAlignment="1" applyProtection="1">
      <alignment horizontal="center" vertical="center" wrapText="1"/>
    </xf>
    <xf numFmtId="176" fontId="20" fillId="0" borderId="4" xfId="11" applyNumberFormat="1" applyFont="1" applyFill="1" applyBorder="1" applyAlignment="1" applyProtection="1">
      <alignment horizontal="right" vertical="center"/>
    </xf>
    <xf numFmtId="49" fontId="20" fillId="0" borderId="4" xfId="11" applyNumberFormat="1" applyFont="1" applyFill="1" applyBorder="1" applyAlignment="1" applyProtection="1">
      <alignment horizontal="center" vertical="center" wrapText="1"/>
    </xf>
    <xf numFmtId="49" fontId="32" fillId="0" borderId="4" xfId="11" applyNumberFormat="1" applyFont="1" applyFill="1" applyBorder="1" applyAlignment="1" applyProtection="1">
      <alignment horizontal="center" vertical="center" wrapText="1"/>
    </xf>
    <xf numFmtId="49" fontId="34" fillId="0" borderId="4" xfId="11" applyNumberFormat="1" applyFont="1" applyFill="1" applyBorder="1" applyAlignment="1" applyProtection="1">
      <alignment horizontal="center" vertical="center" wrapText="1"/>
    </xf>
    <xf numFmtId="49" fontId="20" fillId="0" borderId="31" xfId="11" applyNumberFormat="1" applyFont="1" applyFill="1" applyBorder="1" applyAlignment="1" applyProtection="1">
      <alignment horizontal="center" vertical="center" wrapText="1"/>
    </xf>
    <xf numFmtId="0" fontId="20" fillId="0" borderId="30" xfId="11" applyFont="1" applyFill="1" applyBorder="1" applyAlignment="1" applyProtection="1">
      <alignment horizontal="center" vertical="center" wrapText="1"/>
    </xf>
    <xf numFmtId="0" fontId="20" fillId="0" borderId="32" xfId="11" applyFont="1" applyFill="1" applyBorder="1" applyAlignment="1" applyProtection="1">
      <alignment horizontal="center" vertical="center" wrapText="1"/>
    </xf>
    <xf numFmtId="49" fontId="20" fillId="0" borderId="4" xfId="11" applyNumberFormat="1" applyFont="1" applyFill="1" applyBorder="1" applyAlignment="1" applyProtection="1">
      <alignment horizontal="center" vertical="center"/>
    </xf>
    <xf numFmtId="0" fontId="20" fillId="0" borderId="31" xfId="0" applyNumberFormat="1" applyFont="1" applyFill="1" applyBorder="1" applyAlignment="1" applyProtection="1">
      <alignment horizontal="centerContinuous" vertical="center" wrapText="1"/>
    </xf>
    <xf numFmtId="177" fontId="15" fillId="0" borderId="0" xfId="0" applyNumberFormat="1" applyFont="1" applyBorder="1" applyAlignment="1">
      <alignment horizontal="left" vertical="center"/>
    </xf>
    <xf numFmtId="177" fontId="14" fillId="0" borderId="0" xfId="0" applyNumberFormat="1" applyFont="1" applyBorder="1" applyAlignment="1">
      <alignment horizontal="centerContinuous" vertical="center"/>
    </xf>
    <xf numFmtId="0" fontId="20" fillId="0" borderId="0" xfId="11" applyFont="1" applyBorder="1" applyAlignment="1" applyProtection="1">
      <alignment horizontal="right" vertical="center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0" borderId="37" xfId="12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0" borderId="39" xfId="12" applyNumberFormat="1" applyFont="1" applyBorder="1" applyAlignment="1">
      <alignment horizontal="center" vertical="center"/>
    </xf>
    <xf numFmtId="177" fontId="15" fillId="0" borderId="40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86" fontId="9" fillId="0" borderId="42" xfId="0" applyNumberFormat="1" applyFont="1" applyBorder="1" applyAlignment="1">
      <alignment horizontal="center" vertical="center"/>
    </xf>
    <xf numFmtId="177" fontId="9" fillId="0" borderId="43" xfId="12" applyNumberFormat="1" applyFont="1" applyBorder="1" applyAlignment="1">
      <alignment horizontal="center" vertical="center"/>
    </xf>
    <xf numFmtId="177" fontId="51" fillId="0" borderId="43" xfId="12" applyNumberFormat="1" applyFont="1" applyBorder="1" applyAlignment="1">
      <alignment horizontal="center" vertical="center"/>
    </xf>
    <xf numFmtId="177" fontId="51" fillId="0" borderId="39" xfId="12" applyNumberFormat="1" applyFont="1" applyBorder="1" applyAlignment="1">
      <alignment horizontal="center" vertical="center"/>
    </xf>
    <xf numFmtId="176" fontId="20" fillId="0" borderId="4" xfId="6" applyNumberFormat="1" applyFont="1" applyFill="1" applyBorder="1" applyAlignment="1">
      <alignment horizontal="right" vertical="center"/>
    </xf>
    <xf numFmtId="0" fontId="20" fillId="0" borderId="34" xfId="11" applyFont="1" applyBorder="1" applyAlignment="1" applyProtection="1">
      <alignment horizontal="center" vertical="center"/>
    </xf>
    <xf numFmtId="1" fontId="20" fillId="0" borderId="44" xfId="0" applyNumberFormat="1" applyFont="1" applyFill="1" applyBorder="1" applyAlignment="1">
      <alignment horizontal="center" vertical="center" wrapText="1"/>
    </xf>
    <xf numFmtId="49" fontId="20" fillId="0" borderId="44" xfId="0" applyNumberFormat="1" applyFont="1" applyFill="1" applyBorder="1" applyAlignment="1">
      <alignment horizontal="center" vertical="center"/>
    </xf>
    <xf numFmtId="49" fontId="20" fillId="0" borderId="44" xfId="0" applyNumberFormat="1" applyFont="1" applyFill="1" applyBorder="1" applyAlignment="1" applyProtection="1">
      <alignment horizontal="center" vertical="center" wrapText="1"/>
    </xf>
    <xf numFmtId="49" fontId="20" fillId="0" borderId="44" xfId="0" applyNumberFormat="1" applyFont="1" applyFill="1" applyBorder="1" applyAlignment="1" applyProtection="1">
      <alignment horizontal="center" vertical="center"/>
    </xf>
    <xf numFmtId="177" fontId="51" fillId="0" borderId="29" xfId="12" applyNumberFormat="1" applyFont="1" applyBorder="1" applyAlignment="1">
      <alignment horizontal="center" vertical="center"/>
    </xf>
    <xf numFmtId="177" fontId="52" fillId="0" borderId="43" xfId="12" applyNumberFormat="1" applyFont="1" applyBorder="1" applyAlignment="1">
      <alignment horizontal="center" vertical="center"/>
    </xf>
    <xf numFmtId="177" fontId="51" fillId="0" borderId="23" xfId="12" applyNumberFormat="1" applyFont="1" applyBorder="1" applyAlignment="1">
      <alignment horizontal="center" vertical="center"/>
    </xf>
    <xf numFmtId="177" fontId="52" fillId="0" borderId="39" xfId="12" applyNumberFormat="1" applyFont="1" applyBorder="1" applyAlignment="1">
      <alignment horizontal="center" vertical="center"/>
    </xf>
    <xf numFmtId="177" fontId="51" fillId="0" borderId="14" xfId="12" applyNumberFormat="1" applyFont="1" applyBorder="1" applyAlignment="1">
      <alignment horizontal="center" vertical="center"/>
    </xf>
    <xf numFmtId="177" fontId="52" fillId="0" borderId="14" xfId="12" applyNumberFormat="1" applyFont="1" applyBorder="1" applyAlignment="1">
      <alignment horizontal="center" vertical="center"/>
    </xf>
    <xf numFmtId="177" fontId="52" fillId="0" borderId="37" xfId="12" applyNumberFormat="1" applyFont="1" applyBorder="1" applyAlignment="1">
      <alignment horizontal="center" vertical="center"/>
    </xf>
    <xf numFmtId="177" fontId="51" fillId="0" borderId="37" xfId="12" applyNumberFormat="1" applyFont="1" applyBorder="1" applyAlignment="1">
      <alignment horizontal="center" vertical="center"/>
    </xf>
    <xf numFmtId="1" fontId="20" fillId="0" borderId="45" xfId="0" applyNumberFormat="1" applyFont="1" applyFill="1" applyBorder="1" applyAlignment="1">
      <alignment horizontal="center" vertical="center"/>
    </xf>
    <xf numFmtId="176" fontId="20" fillId="0" borderId="45" xfId="0" applyNumberFormat="1" applyFont="1" applyFill="1" applyBorder="1" applyAlignment="1">
      <alignment horizontal="right" vertical="center"/>
    </xf>
    <xf numFmtId="1" fontId="20" fillId="0" borderId="45" xfId="0" applyNumberFormat="1" applyFont="1" applyFill="1" applyBorder="1" applyAlignment="1">
      <alignment horizontal="center" vertical="center" wrapText="1"/>
    </xf>
    <xf numFmtId="0" fontId="20" fillId="0" borderId="44" xfId="0" applyNumberFormat="1" applyFont="1" applyFill="1" applyBorder="1" applyAlignment="1" applyProtection="1">
      <alignment horizontal="center" vertical="center"/>
    </xf>
    <xf numFmtId="41" fontId="20" fillId="0" borderId="44" xfId="6" applyNumberFormat="1" applyFont="1" applyFill="1" applyBorder="1" applyAlignment="1" applyProtection="1">
      <alignment horizontal="center" vertical="center" wrapText="1"/>
    </xf>
    <xf numFmtId="0" fontId="20" fillId="0" borderId="44" xfId="0" applyNumberFormat="1" applyFont="1" applyFill="1" applyBorder="1" applyAlignment="1" applyProtection="1">
      <alignment horizontal="centerContinuous" vertical="center" wrapText="1"/>
    </xf>
    <xf numFmtId="181" fontId="51" fillId="0" borderId="15" xfId="12" applyNumberFormat="1" applyFont="1" applyBorder="1" applyAlignment="1">
      <alignment horizontal="center" vertical="center"/>
    </xf>
    <xf numFmtId="181" fontId="52" fillId="0" borderId="15" xfId="12" applyNumberFormat="1" applyFont="1" applyBorder="1" applyAlignment="1">
      <alignment horizontal="center" vertical="center"/>
    </xf>
    <xf numFmtId="181" fontId="52" fillId="0" borderId="39" xfId="12" applyNumberFormat="1" applyFont="1" applyBorder="1" applyAlignment="1">
      <alignment horizontal="center" vertical="center"/>
    </xf>
    <xf numFmtId="181" fontId="51" fillId="0" borderId="39" xfId="12" applyNumberFormat="1" applyFont="1" applyBorder="1" applyAlignment="1">
      <alignment horizontal="center" vertical="center"/>
    </xf>
    <xf numFmtId="181" fontId="15" fillId="0" borderId="46" xfId="0" applyNumberFormat="1" applyFont="1" applyBorder="1" applyAlignment="1">
      <alignment horizontal="center" vertical="center"/>
    </xf>
    <xf numFmtId="181" fontId="15" fillId="0" borderId="40" xfId="0" applyNumberFormat="1" applyFont="1" applyBorder="1" applyAlignment="1">
      <alignment horizontal="center" vertical="center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49" fontId="20" fillId="0" borderId="45" xfId="0" applyNumberFormat="1" applyFont="1" applyFill="1" applyBorder="1" applyAlignment="1" applyProtection="1">
      <alignment horizontal="center" vertical="center" wrapText="1"/>
    </xf>
    <xf numFmtId="181" fontId="9" fillId="0" borderId="23" xfId="12" applyNumberFormat="1" applyFont="1" applyBorder="1" applyAlignment="1">
      <alignment horizontal="center" vertical="center"/>
    </xf>
    <xf numFmtId="181" fontId="51" fillId="0" borderId="23" xfId="12" applyNumberFormat="1" applyFont="1" applyBorder="1" applyAlignment="1">
      <alignment horizontal="center" vertical="center"/>
    </xf>
    <xf numFmtId="0" fontId="53" fillId="0" borderId="44" xfId="0" applyNumberFormat="1" applyFont="1" applyFill="1" applyBorder="1" applyAlignment="1" applyProtection="1">
      <alignment horizontal="center" vertical="center" wrapText="1"/>
    </xf>
    <xf numFmtId="49" fontId="53" fillId="0" borderId="44" xfId="0" applyNumberFormat="1" applyFont="1" applyFill="1" applyBorder="1" applyAlignment="1" applyProtection="1">
      <alignment horizontal="center" vertical="center" wrapText="1"/>
    </xf>
    <xf numFmtId="0" fontId="53" fillId="0" borderId="44" xfId="0" applyNumberFormat="1" applyFont="1" applyFill="1" applyBorder="1" applyAlignment="1" applyProtection="1">
      <alignment horizontal="center" vertical="center"/>
    </xf>
    <xf numFmtId="41" fontId="53" fillId="0" borderId="44" xfId="6" applyNumberFormat="1" applyFont="1" applyFill="1" applyBorder="1" applyAlignment="1" applyProtection="1">
      <alignment horizontal="center" vertical="center" wrapText="1"/>
    </xf>
    <xf numFmtId="49" fontId="20" fillId="0" borderId="30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176" fontId="20" fillId="0" borderId="31" xfId="0" applyNumberFormat="1" applyFont="1" applyFill="1" applyBorder="1" applyAlignment="1" applyProtection="1">
      <alignment horizontal="center" vertical="center"/>
      <protection locked="0"/>
    </xf>
    <xf numFmtId="41" fontId="20" fillId="0" borderId="31" xfId="0" applyNumberFormat="1" applyFont="1" applyFill="1" applyBorder="1" applyAlignment="1" applyProtection="1">
      <alignment horizontal="right" vertical="center"/>
      <protection locked="0"/>
    </xf>
    <xf numFmtId="176" fontId="53" fillId="0" borderId="31" xfId="0" applyNumberFormat="1" applyFont="1" applyFill="1" applyBorder="1" applyAlignment="1" applyProtection="1">
      <alignment horizontal="center" vertical="center"/>
      <protection locked="0"/>
    </xf>
    <xf numFmtId="41" fontId="53" fillId="0" borderId="31" xfId="0" applyNumberFormat="1" applyFont="1" applyFill="1" applyBorder="1" applyAlignment="1" applyProtection="1">
      <alignment horizontal="right" vertical="center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0" fillId="0" borderId="47" xfId="0" applyFont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>
      <alignment horizontal="center" vertical="center"/>
    </xf>
    <xf numFmtId="17" fontId="20" fillId="0" borderId="4" xfId="0" applyNumberFormat="1" applyFont="1" applyFill="1" applyBorder="1" applyAlignment="1">
      <alignment horizontal="center" vertical="center"/>
    </xf>
    <xf numFmtId="176" fontId="53" fillId="0" borderId="4" xfId="0" applyNumberFormat="1" applyFont="1" applyFill="1" applyBorder="1" applyAlignment="1" applyProtection="1">
      <alignment horizontal="right" vertical="center"/>
      <protection locked="0"/>
    </xf>
    <xf numFmtId="17" fontId="53" fillId="0" borderId="4" xfId="0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41" fontId="53" fillId="0" borderId="4" xfId="6" applyNumberFormat="1" applyFont="1" applyFill="1" applyBorder="1" applyAlignment="1">
      <alignment horizontal="right" vertical="center"/>
    </xf>
    <xf numFmtId="176" fontId="53" fillId="0" borderId="4" xfId="0" applyNumberFormat="1" applyFont="1" applyFill="1" applyBorder="1" applyAlignment="1" applyProtection="1">
      <alignment horizontal="center" vertical="center"/>
      <protection locked="0"/>
    </xf>
    <xf numFmtId="176" fontId="20" fillId="0" borderId="4" xfId="0" applyNumberFormat="1" applyFont="1" applyFill="1" applyBorder="1" applyAlignment="1" applyProtection="1">
      <alignment horizontal="center" vertical="center"/>
      <protection locked="0"/>
    </xf>
    <xf numFmtId="41" fontId="20" fillId="0" borderId="4" xfId="0" applyNumberFormat="1" applyFont="1" applyFill="1" applyBorder="1" applyAlignment="1" applyProtection="1">
      <alignment horizontal="right" vertical="center"/>
      <protection locked="0"/>
    </xf>
    <xf numFmtId="41" fontId="53" fillId="0" borderId="4" xfId="0" applyNumberFormat="1" applyFont="1" applyFill="1" applyBorder="1" applyAlignment="1" applyProtection="1">
      <alignment horizontal="right" vertical="center"/>
      <protection locked="0"/>
    </xf>
    <xf numFmtId="49" fontId="53" fillId="0" borderId="4" xfId="0" applyNumberFormat="1" applyFont="1" applyFill="1" applyBorder="1" applyAlignment="1">
      <alignment horizontal="center" vertical="center"/>
    </xf>
    <xf numFmtId="1" fontId="53" fillId="0" borderId="4" xfId="0" applyNumberFormat="1" applyFont="1" applyFill="1" applyBorder="1" applyAlignment="1">
      <alignment horizontal="center" vertical="center"/>
    </xf>
    <xf numFmtId="176" fontId="20" fillId="0" borderId="4" xfId="0" applyNumberFormat="1" applyFont="1" applyBorder="1" applyAlignment="1" applyProtection="1">
      <alignment horizontal="center" vertical="center" wrapText="1"/>
      <protection locked="0"/>
    </xf>
    <xf numFmtId="49" fontId="20" fillId="0" borderId="4" xfId="0" applyNumberFormat="1" applyFont="1" applyFill="1" applyBorder="1" applyAlignment="1" applyProtection="1">
      <alignment horizontal="center" vertical="center"/>
      <protection locked="0"/>
    </xf>
    <xf numFmtId="49" fontId="53" fillId="0" borderId="4" xfId="0" applyNumberFormat="1" applyFont="1" applyFill="1" applyBorder="1" applyAlignment="1" applyProtection="1">
      <alignment horizontal="center" vertical="center"/>
      <protection locked="0"/>
    </xf>
    <xf numFmtId="186" fontId="20" fillId="0" borderId="4" xfId="0" applyNumberFormat="1" applyFont="1" applyBorder="1" applyAlignment="1" applyProtection="1">
      <alignment horizontal="center" vertical="center" wrapText="1"/>
      <protection locked="0"/>
    </xf>
    <xf numFmtId="0" fontId="53" fillId="0" borderId="34" xfId="11" applyFont="1" applyBorder="1" applyAlignment="1" applyProtection="1">
      <alignment horizontal="centerContinuous" vertical="center"/>
    </xf>
    <xf numFmtId="1" fontId="53" fillId="0" borderId="34" xfId="0" applyNumberFormat="1" applyFont="1" applyBorder="1" applyAlignment="1">
      <alignment horizontal="center" vertical="center"/>
    </xf>
    <xf numFmtId="41" fontId="53" fillId="0" borderId="34" xfId="6" applyNumberFormat="1" applyFont="1" applyBorder="1" applyAlignment="1">
      <alignment horizontal="center" vertical="center"/>
    </xf>
    <xf numFmtId="176" fontId="20" fillId="0" borderId="48" xfId="0" applyNumberFormat="1" applyFont="1" applyFill="1" applyBorder="1" applyAlignment="1" applyProtection="1">
      <alignment horizontal="center" vertical="center"/>
      <protection locked="0"/>
    </xf>
    <xf numFmtId="49" fontId="20" fillId="0" borderId="48" xfId="0" applyNumberFormat="1" applyFont="1" applyFill="1" applyBorder="1" applyAlignment="1" applyProtection="1">
      <alignment horizontal="center" vertical="center"/>
      <protection locked="0"/>
    </xf>
    <xf numFmtId="41" fontId="20" fillId="0" borderId="48" xfId="0" applyNumberFormat="1" applyFont="1" applyFill="1" applyBorder="1" applyAlignment="1" applyProtection="1">
      <alignment horizontal="right" vertical="center"/>
      <protection locked="0"/>
    </xf>
    <xf numFmtId="176" fontId="53" fillId="0" borderId="31" xfId="0" applyNumberFormat="1" applyFont="1" applyFill="1" applyBorder="1" applyAlignment="1" applyProtection="1">
      <alignment horizontal="right" vertical="center"/>
      <protection locked="0"/>
    </xf>
    <xf numFmtId="176" fontId="53" fillId="0" borderId="48" xfId="0" applyNumberFormat="1" applyFont="1" applyFill="1" applyBorder="1" applyAlignment="1" applyProtection="1">
      <alignment horizontal="center" vertical="center"/>
      <protection locked="0"/>
    </xf>
    <xf numFmtId="49" fontId="53" fillId="0" borderId="48" xfId="0" applyNumberFormat="1" applyFont="1" applyFill="1" applyBorder="1" applyAlignment="1" applyProtection="1">
      <alignment horizontal="center" vertical="center"/>
      <protection locked="0"/>
    </xf>
    <xf numFmtId="41" fontId="53" fillId="0" borderId="48" xfId="0" applyNumberFormat="1" applyFont="1" applyFill="1" applyBorder="1" applyAlignment="1" applyProtection="1">
      <alignment horizontal="right" vertical="center"/>
      <protection locked="0"/>
    </xf>
    <xf numFmtId="0" fontId="20" fillId="0" borderId="31" xfId="0" applyNumberFormat="1" applyFont="1" applyBorder="1" applyAlignment="1" applyProtection="1">
      <alignment horizontal="centerContinuous" vertical="center"/>
      <protection locked="0"/>
    </xf>
    <xf numFmtId="0" fontId="20" fillId="0" borderId="47" xfId="0" applyNumberFormat="1" applyFont="1" applyBorder="1" applyAlignment="1" applyProtection="1">
      <alignment horizontal="center" vertical="center"/>
      <protection locked="0"/>
    </xf>
    <xf numFmtId="0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53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NumberFormat="1" applyFont="1" applyBorder="1" applyAlignment="1" applyProtection="1">
      <alignment horizontal="center" vertical="center"/>
      <protection locked="0"/>
    </xf>
    <xf numFmtId="0" fontId="20" fillId="0" borderId="32" xfId="0" applyNumberFormat="1" applyFont="1" applyBorder="1" applyAlignment="1" applyProtection="1">
      <alignment horizontal="center" vertical="center"/>
      <protection locked="0"/>
    </xf>
    <xf numFmtId="0" fontId="20" fillId="0" borderId="4" xfId="0" applyNumberFormat="1" applyFont="1" applyBorder="1" applyAlignment="1" applyProtection="1">
      <alignment horizontal="center" vertical="center"/>
      <protection locked="0"/>
    </xf>
    <xf numFmtId="0" fontId="20" fillId="0" borderId="4" xfId="0" applyNumberFormat="1" applyFont="1" applyBorder="1" applyAlignment="1" applyProtection="1">
      <alignment horizontal="centerContinuous" vertical="center"/>
      <protection locked="0"/>
    </xf>
    <xf numFmtId="179" fontId="20" fillId="0" borderId="4" xfId="0" applyNumberFormat="1" applyFont="1" applyFill="1" applyBorder="1" applyAlignment="1">
      <alignment horizontal="center" vertical="center"/>
    </xf>
    <xf numFmtId="179" fontId="53" fillId="0" borderId="4" xfId="0" applyNumberFormat="1" applyFont="1" applyFill="1" applyBorder="1" applyAlignment="1">
      <alignment horizontal="center" vertical="center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0" xfId="0" applyNumberFormat="1" applyFont="1" applyBorder="1" applyAlignment="1" applyProtection="1">
      <alignment horizontal="center" vertical="center"/>
      <protection locked="0"/>
    </xf>
    <xf numFmtId="49" fontId="53" fillId="0" borderId="31" xfId="0" applyNumberFormat="1" applyFont="1" applyFill="1" applyBorder="1" applyAlignment="1">
      <alignment horizontal="center" vertical="center"/>
    </xf>
    <xf numFmtId="1" fontId="53" fillId="0" borderId="31" xfId="0" applyNumberFormat="1" applyFont="1" applyFill="1" applyBorder="1" applyAlignment="1">
      <alignment horizontal="center" vertical="center"/>
    </xf>
    <xf numFmtId="41" fontId="53" fillId="0" borderId="31" xfId="6" applyNumberFormat="1" applyFont="1" applyFill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41" fontId="20" fillId="0" borderId="4" xfId="0" applyNumberFormat="1" applyFont="1" applyFill="1" applyBorder="1" applyAlignment="1">
      <alignment horizontal="right" vertical="center"/>
    </xf>
    <xf numFmtId="176" fontId="53" fillId="0" borderId="4" xfId="0" applyNumberFormat="1" applyFont="1" applyFill="1" applyBorder="1" applyAlignment="1">
      <alignment horizontal="right" vertical="center"/>
    </xf>
    <xf numFmtId="49" fontId="53" fillId="0" borderId="4" xfId="0" applyNumberFormat="1" applyFont="1" applyFill="1" applyBorder="1" applyAlignment="1" applyProtection="1">
      <alignment horizontal="center" vertical="center"/>
    </xf>
    <xf numFmtId="49" fontId="53" fillId="0" borderId="4" xfId="11" applyNumberFormat="1" applyFont="1" applyFill="1" applyBorder="1" applyAlignment="1" applyProtection="1">
      <alignment horizontal="center" vertical="center"/>
    </xf>
    <xf numFmtId="41" fontId="53" fillId="0" borderId="4" xfId="0" applyNumberFormat="1" applyFont="1" applyFill="1" applyBorder="1" applyAlignment="1">
      <alignment horizontal="right" vertical="center"/>
    </xf>
    <xf numFmtId="49" fontId="20" fillId="0" borderId="31" xfId="0" applyNumberFormat="1" applyFont="1" applyFill="1" applyBorder="1" applyAlignment="1" applyProtection="1">
      <alignment horizontal="center" vertical="center"/>
      <protection locked="0"/>
    </xf>
    <xf numFmtId="49" fontId="53" fillId="0" borderId="31" xfId="0" applyNumberFormat="1" applyFont="1" applyFill="1" applyBorder="1" applyAlignment="1" applyProtection="1">
      <alignment horizontal="center" vertical="center"/>
      <protection locked="0"/>
    </xf>
    <xf numFmtId="176" fontId="20" fillId="0" borderId="31" xfId="0" applyNumberFormat="1" applyFont="1" applyBorder="1" applyAlignment="1" applyProtection="1">
      <alignment horizontal="center" vertical="center" wrapText="1"/>
      <protection locked="0"/>
    </xf>
    <xf numFmtId="49" fontId="20" fillId="0" borderId="32" xfId="0" applyNumberFormat="1" applyFont="1" applyBorder="1" applyAlignment="1">
      <alignment horizontal="center" vertical="center"/>
    </xf>
    <xf numFmtId="177" fontId="20" fillId="0" borderId="4" xfId="11" applyNumberFormat="1" applyFont="1" applyFill="1" applyBorder="1" applyAlignment="1" applyProtection="1">
      <alignment horizontal="center" vertical="center"/>
    </xf>
    <xf numFmtId="177" fontId="53" fillId="0" borderId="4" xfId="11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177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20" fillId="0" borderId="31" xfId="11" applyNumberFormat="1" applyFont="1" applyFill="1" applyBorder="1" applyAlignment="1" applyProtection="1">
      <alignment horizontal="center" vertical="center"/>
    </xf>
    <xf numFmtId="41" fontId="20" fillId="0" borderId="31" xfId="0" applyNumberFormat="1" applyFont="1" applyFill="1" applyBorder="1" applyAlignment="1">
      <alignment horizontal="right" vertical="center"/>
    </xf>
    <xf numFmtId="176" fontId="53" fillId="0" borderId="31" xfId="0" applyNumberFormat="1" applyFont="1" applyFill="1" applyBorder="1" applyAlignment="1">
      <alignment horizontal="right" vertical="center"/>
    </xf>
    <xf numFmtId="49" fontId="53" fillId="0" borderId="31" xfId="0" applyNumberFormat="1" applyFont="1" applyFill="1" applyBorder="1" applyAlignment="1" applyProtection="1">
      <alignment horizontal="center" vertical="center"/>
    </xf>
    <xf numFmtId="177" fontId="53" fillId="0" borderId="31" xfId="11" applyNumberFormat="1" applyFont="1" applyFill="1" applyBorder="1" applyAlignment="1" applyProtection="1">
      <alignment horizontal="center" vertical="center"/>
    </xf>
    <xf numFmtId="41" fontId="53" fillId="0" borderId="31" xfId="0" applyNumberFormat="1" applyFont="1" applyFill="1" applyBorder="1" applyAlignment="1">
      <alignment horizontal="right" vertical="center"/>
    </xf>
    <xf numFmtId="0" fontId="20" fillId="0" borderId="47" xfId="0" applyFont="1" applyBorder="1" applyAlignment="1">
      <alignment horizontal="center" vertical="center"/>
    </xf>
    <xf numFmtId="41" fontId="20" fillId="0" borderId="4" xfId="0" quotePrefix="1" applyNumberFormat="1" applyFont="1" applyFill="1" applyBorder="1" applyAlignment="1">
      <alignment horizontal="right" vertical="center"/>
    </xf>
    <xf numFmtId="176" fontId="53" fillId="0" borderId="4" xfId="0" quotePrefix="1" applyNumberFormat="1" applyFont="1" applyFill="1" applyBorder="1" applyAlignment="1">
      <alignment horizontal="right" vertical="center"/>
    </xf>
    <xf numFmtId="41" fontId="53" fillId="0" borderId="4" xfId="0" quotePrefix="1" applyNumberFormat="1" applyFont="1" applyFill="1" applyBorder="1" applyAlignment="1">
      <alignment horizontal="right" vertical="center"/>
    </xf>
    <xf numFmtId="0" fontId="20" fillId="0" borderId="4" xfId="0" applyNumberFormat="1" applyFont="1" applyBorder="1" applyAlignment="1" applyProtection="1">
      <alignment horizontal="center" vertical="center" shrinkToFit="1"/>
      <protection locked="0"/>
    </xf>
    <xf numFmtId="41" fontId="20" fillId="0" borderId="4" xfId="11" applyNumberFormat="1" applyFont="1" applyFill="1" applyBorder="1" applyAlignment="1" applyProtection="1">
      <alignment horizontal="right" vertical="center"/>
    </xf>
    <xf numFmtId="0" fontId="53" fillId="0" borderId="4" xfId="11" applyFont="1" applyFill="1" applyBorder="1" applyAlignment="1" applyProtection="1">
      <alignment horizontal="center" vertical="center"/>
    </xf>
    <xf numFmtId="41" fontId="53" fillId="0" borderId="4" xfId="11" applyNumberFormat="1" applyFont="1" applyFill="1" applyBorder="1" applyAlignment="1" applyProtection="1">
      <alignment horizontal="right" vertical="center"/>
    </xf>
    <xf numFmtId="0" fontId="20" fillId="0" borderId="34" xfId="11" applyFont="1" applyBorder="1" applyAlignment="1" applyProtection="1">
      <alignment horizontal="right" vertical="center"/>
    </xf>
    <xf numFmtId="41" fontId="20" fillId="0" borderId="34" xfId="6" applyNumberFormat="1" applyFont="1" applyBorder="1" applyAlignment="1">
      <alignment horizontal="right" vertical="center"/>
    </xf>
    <xf numFmtId="0" fontId="53" fillId="0" borderId="34" xfId="11" applyFont="1" applyFill="1" applyBorder="1" applyAlignment="1" applyProtection="1">
      <alignment horizontal="center" vertical="center"/>
    </xf>
    <xf numFmtId="49" fontId="53" fillId="0" borderId="34" xfId="0" applyNumberFormat="1" applyFont="1" applyFill="1" applyBorder="1" applyAlignment="1" applyProtection="1">
      <alignment horizontal="center" vertical="center"/>
    </xf>
    <xf numFmtId="41" fontId="53" fillId="0" borderId="34" xfId="11" applyNumberFormat="1" applyFont="1" applyFill="1" applyBorder="1" applyAlignment="1" applyProtection="1">
      <alignment horizontal="right" vertical="center"/>
    </xf>
    <xf numFmtId="176" fontId="20" fillId="0" borderId="4" xfId="0" applyNumberFormat="1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176" fontId="20" fillId="0" borderId="44" xfId="0" applyNumberFormat="1" applyFont="1" applyFill="1" applyBorder="1" applyAlignment="1" applyProtection="1">
      <alignment horizontal="center" vertical="center"/>
      <protection locked="0"/>
    </xf>
    <xf numFmtId="41" fontId="20" fillId="0" borderId="44" xfId="0" applyNumberFormat="1" applyFont="1" applyFill="1" applyBorder="1" applyAlignment="1">
      <alignment horizontal="right" vertical="center"/>
    </xf>
    <xf numFmtId="41" fontId="20" fillId="0" borderId="44" xfId="0" applyNumberFormat="1" applyFont="1" applyFill="1" applyBorder="1" applyAlignment="1" applyProtection="1">
      <alignment horizontal="right" vertical="center"/>
      <protection locked="0"/>
    </xf>
    <xf numFmtId="176" fontId="53" fillId="0" borderId="44" xfId="0" applyNumberFormat="1" applyFont="1" applyFill="1" applyBorder="1" applyAlignment="1" applyProtection="1">
      <alignment horizontal="right" vertical="center"/>
      <protection locked="0"/>
    </xf>
    <xf numFmtId="176" fontId="53" fillId="0" borderId="44" xfId="0" applyNumberFormat="1" applyFont="1" applyFill="1" applyBorder="1" applyAlignment="1" applyProtection="1">
      <alignment horizontal="center" vertical="center"/>
      <protection locked="0"/>
    </xf>
    <xf numFmtId="49" fontId="53" fillId="0" borderId="44" xfId="0" applyNumberFormat="1" applyFont="1" applyFill="1" applyBorder="1" applyAlignment="1">
      <alignment horizontal="center" vertical="center"/>
    </xf>
    <xf numFmtId="41" fontId="53" fillId="0" borderId="44" xfId="0" applyNumberFormat="1" applyFont="1" applyFill="1" applyBorder="1" applyAlignment="1">
      <alignment horizontal="right" vertical="center"/>
    </xf>
    <xf numFmtId="41" fontId="53" fillId="0" borderId="44" xfId="0" applyNumberFormat="1" applyFont="1" applyFill="1" applyBorder="1" applyAlignment="1" applyProtection="1">
      <alignment horizontal="right" vertical="center"/>
      <protection locked="0"/>
    </xf>
    <xf numFmtId="0" fontId="20" fillId="0" borderId="50" xfId="0" applyFont="1" applyBorder="1" applyAlignment="1" applyProtection="1">
      <alignment horizontal="center" vertical="center" wrapText="1"/>
      <protection locked="0"/>
    </xf>
    <xf numFmtId="41" fontId="53" fillId="0" borderId="34" xfId="6" applyNumberFormat="1" applyFont="1" applyFill="1" applyBorder="1" applyAlignment="1">
      <alignment horizontal="right" vertical="center"/>
    </xf>
    <xf numFmtId="0" fontId="20" fillId="0" borderId="30" xfId="0" applyFont="1" applyBorder="1" applyAlignment="1">
      <alignment horizontal="center" vertical="center"/>
    </xf>
    <xf numFmtId="176" fontId="20" fillId="0" borderId="31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shrinkToFit="1"/>
    </xf>
    <xf numFmtId="176" fontId="20" fillId="0" borderId="4" xfId="0" applyNumberFormat="1" applyFont="1" applyFill="1" applyBorder="1" applyAlignment="1">
      <alignment horizontal="center" vertical="center"/>
    </xf>
    <xf numFmtId="176" fontId="53" fillId="0" borderId="4" xfId="0" applyNumberFormat="1" applyFont="1" applyFill="1" applyBorder="1" applyAlignment="1">
      <alignment horizontal="center" vertical="center"/>
    </xf>
    <xf numFmtId="176" fontId="20" fillId="0" borderId="31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176" fontId="53" fillId="0" borderId="31" xfId="0" applyNumberFormat="1" applyFont="1" applyFill="1" applyBorder="1" applyAlignment="1">
      <alignment horizontal="center" vertical="center"/>
    </xf>
    <xf numFmtId="0" fontId="53" fillId="0" borderId="31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53" fillId="0" borderId="4" xfId="0" applyNumberFormat="1" applyFont="1" applyFill="1" applyBorder="1" applyAlignment="1">
      <alignment horizontal="center" vertical="center"/>
    </xf>
    <xf numFmtId="189" fontId="20" fillId="0" borderId="34" xfId="6" applyNumberFormat="1" applyFont="1" applyBorder="1" applyAlignment="1">
      <alignment horizontal="right" vertical="center"/>
    </xf>
    <xf numFmtId="181" fontId="53" fillId="0" borderId="34" xfId="6" applyNumberFormat="1" applyFont="1" applyFill="1" applyBorder="1" applyAlignment="1">
      <alignment horizontal="right" vertical="center"/>
    </xf>
    <xf numFmtId="49" fontId="20" fillId="0" borderId="4" xfId="0" applyNumberFormat="1" applyFont="1" applyBorder="1" applyAlignment="1">
      <alignment horizontal="center" vertical="center"/>
    </xf>
    <xf numFmtId="180" fontId="20" fillId="0" borderId="4" xfId="0" applyNumberFormat="1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4" xfId="0" applyNumberFormat="1" applyFont="1" applyBorder="1" applyAlignment="1" applyProtection="1">
      <alignment horizontal="center" vertical="center" shrinkToFit="1"/>
      <protection locked="0"/>
    </xf>
    <xf numFmtId="49" fontId="20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53" fillId="0" borderId="34" xfId="0" applyNumberFormat="1" applyFont="1" applyFill="1" applyBorder="1" applyAlignment="1" applyProtection="1">
      <alignment horizontal="center" vertical="center" wrapText="1"/>
    </xf>
    <xf numFmtId="49" fontId="20" fillId="0" borderId="31" xfId="0" applyNumberFormat="1" applyFont="1" applyBorder="1" applyAlignment="1" applyProtection="1">
      <alignment horizontal="center" vertical="center" wrapText="1"/>
      <protection locked="0"/>
    </xf>
    <xf numFmtId="176" fontId="20" fillId="0" borderId="31" xfId="0" applyNumberFormat="1" applyFont="1" applyBorder="1" applyAlignment="1" applyProtection="1">
      <alignment horizontal="right" vertical="center"/>
      <protection locked="0"/>
    </xf>
    <xf numFmtId="49" fontId="53" fillId="0" borderId="31" xfId="0" applyNumberFormat="1" applyFont="1" applyBorder="1" applyAlignment="1" applyProtection="1">
      <alignment horizontal="center" vertical="center" wrapText="1"/>
      <protection locked="0"/>
    </xf>
    <xf numFmtId="176" fontId="53" fillId="0" borderId="4" xfId="0" applyNumberFormat="1" applyFont="1" applyBorder="1" applyAlignment="1" applyProtection="1">
      <alignment horizontal="right" vertical="center"/>
      <protection locked="0"/>
    </xf>
    <xf numFmtId="0" fontId="53" fillId="0" borderId="4" xfId="0" applyFont="1" applyBorder="1" applyAlignment="1">
      <alignment horizontal="center" vertical="center"/>
    </xf>
    <xf numFmtId="17" fontId="20" fillId="0" borderId="4" xfId="0" applyNumberFormat="1" applyFont="1" applyBorder="1" applyAlignment="1">
      <alignment horizontal="center" vertical="center"/>
    </xf>
    <xf numFmtId="49" fontId="53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41" fontId="20" fillId="0" borderId="4" xfId="6" applyNumberFormat="1" applyFont="1" applyBorder="1" applyAlignment="1">
      <alignment horizontal="right" vertical="center"/>
    </xf>
    <xf numFmtId="176" fontId="54" fillId="0" borderId="4" xfId="0" applyNumberFormat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54" fillId="0" borderId="4" xfId="0" applyFont="1" applyFill="1" applyBorder="1" applyAlignment="1">
      <alignment horizontal="center" vertical="center"/>
    </xf>
    <xf numFmtId="49" fontId="54" fillId="0" borderId="4" xfId="0" applyNumberFormat="1" applyFont="1" applyFill="1" applyBorder="1" applyAlignment="1">
      <alignment horizontal="center" vertical="center"/>
    </xf>
    <xf numFmtId="0" fontId="20" fillId="0" borderId="32" xfId="0" applyNumberFormat="1" applyFont="1" applyFill="1" applyBorder="1" applyAlignment="1" applyProtection="1">
      <alignment horizontal="center" vertical="center"/>
      <protection locked="0"/>
    </xf>
    <xf numFmtId="49" fontId="20" fillId="0" borderId="32" xfId="0" applyNumberFormat="1" applyFont="1" applyFill="1" applyBorder="1" applyAlignment="1">
      <alignment horizontal="center" vertical="center"/>
    </xf>
    <xf numFmtId="49" fontId="20" fillId="0" borderId="32" xfId="0" applyNumberFormat="1" applyFont="1" applyFill="1" applyBorder="1" applyAlignment="1" applyProtection="1">
      <alignment horizontal="center" vertical="center"/>
      <protection locked="0"/>
    </xf>
    <xf numFmtId="0" fontId="54" fillId="0" borderId="4" xfId="0" applyFont="1" applyBorder="1" applyAlignment="1">
      <alignment horizontal="center" vertical="center"/>
    </xf>
    <xf numFmtId="176" fontId="54" fillId="0" borderId="4" xfId="0" applyNumberFormat="1" applyFont="1" applyBorder="1" applyAlignment="1">
      <alignment horizontal="right" vertical="center"/>
    </xf>
    <xf numFmtId="49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4" fillId="0" borderId="4" xfId="0" applyNumberFormat="1" applyFont="1" applyBorder="1" applyAlignment="1" applyProtection="1">
      <alignment horizontal="center" vertical="center"/>
      <protection locked="0"/>
    </xf>
    <xf numFmtId="176" fontId="54" fillId="0" borderId="4" xfId="0" applyNumberFormat="1" applyFont="1" applyBorder="1" applyAlignment="1" applyProtection="1">
      <alignment horizontal="right" vertical="center"/>
      <protection locked="0"/>
    </xf>
    <xf numFmtId="176" fontId="54" fillId="0" borderId="4" xfId="0" quotePrefix="1" applyNumberFormat="1" applyFont="1" applyBorder="1" applyAlignment="1">
      <alignment horizontal="right" vertical="center"/>
    </xf>
    <xf numFmtId="176" fontId="20" fillId="0" borderId="4" xfId="0" applyNumberFormat="1" applyFont="1" applyFill="1" applyBorder="1" applyAlignment="1" applyProtection="1">
      <alignment horizontal="right" vertical="center"/>
      <protection locked="0"/>
    </xf>
    <xf numFmtId="0" fontId="20" fillId="0" borderId="47" xfId="0" applyFont="1" applyFill="1" applyBorder="1" applyAlignment="1" applyProtection="1">
      <alignment horizontal="center" vertical="center" wrapText="1"/>
      <protection locked="0"/>
    </xf>
    <xf numFmtId="0" fontId="53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>
      <alignment horizontal="center" vertical="center"/>
    </xf>
    <xf numFmtId="49" fontId="20" fillId="0" borderId="30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 applyProtection="1">
      <alignment horizontal="center" vertical="center" wrapText="1"/>
      <protection locked="0"/>
    </xf>
    <xf numFmtId="180" fontId="20" fillId="0" borderId="4" xfId="6" applyNumberFormat="1" applyFont="1" applyFill="1" applyBorder="1" applyAlignment="1">
      <alignment horizontal="right" vertical="center"/>
    </xf>
    <xf numFmtId="176" fontId="20" fillId="0" borderId="51" xfId="6" applyNumberFormat="1" applyFont="1" applyFill="1" applyBorder="1" applyAlignment="1">
      <alignment horizontal="right" vertical="center"/>
    </xf>
    <xf numFmtId="0" fontId="20" fillId="0" borderId="52" xfId="0" applyFont="1" applyFill="1" applyBorder="1" applyAlignment="1" applyProtection="1">
      <alignment horizontal="center" vertical="center" wrapText="1"/>
      <protection locked="0"/>
    </xf>
    <xf numFmtId="176" fontId="20" fillId="0" borderId="31" xfId="6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0" xfId="0" applyNumberFormat="1" applyFont="1" applyFill="1" applyBorder="1" applyAlignment="1" applyProtection="1">
      <alignment horizontal="center" vertical="center"/>
      <protection locked="0"/>
    </xf>
    <xf numFmtId="176" fontId="20" fillId="0" borderId="31" xfId="0" applyNumberFormat="1" applyFont="1" applyFill="1" applyBorder="1" applyAlignment="1" applyProtection="1">
      <alignment horizontal="right" vertical="center"/>
      <protection locked="0"/>
    </xf>
    <xf numFmtId="0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2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34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4" xfId="0" applyNumberFormat="1" applyFont="1" applyFill="1" applyBorder="1" applyAlignment="1" applyProtection="1">
      <alignment horizontal="center" vertical="center" shrinkToFit="1"/>
      <protection locked="0"/>
    </xf>
    <xf numFmtId="41" fontId="20" fillId="0" borderId="45" xfId="6" applyNumberFormat="1" applyFont="1" applyBorder="1" applyAlignment="1">
      <alignment horizontal="center" vertical="center"/>
    </xf>
    <xf numFmtId="179" fontId="53" fillId="0" borderId="4" xfId="0" quotePrefix="1" applyNumberFormat="1" applyFont="1" applyFill="1" applyBorder="1" applyAlignment="1">
      <alignment horizontal="center" vertical="center"/>
    </xf>
    <xf numFmtId="49" fontId="20" fillId="0" borderId="31" xfId="0" quotePrefix="1" applyNumberFormat="1" applyFont="1" applyFill="1" applyBorder="1" applyAlignment="1" applyProtection="1">
      <alignment horizontal="center" vertical="center" wrapText="1"/>
    </xf>
    <xf numFmtId="0" fontId="20" fillId="0" borderId="53" xfId="0" applyFont="1" applyBorder="1" applyAlignment="1" applyProtection="1">
      <alignment horizontal="center" vertical="center"/>
      <protection locked="0"/>
    </xf>
    <xf numFmtId="49" fontId="20" fillId="0" borderId="44" xfId="0" applyNumberFormat="1" applyFont="1" applyBorder="1" applyAlignment="1" applyProtection="1">
      <alignment horizontal="center" vertical="center"/>
      <protection locked="0"/>
    </xf>
    <xf numFmtId="176" fontId="20" fillId="0" borderId="44" xfId="0" applyNumberFormat="1" applyFont="1" applyBorder="1" applyAlignment="1" applyProtection="1">
      <alignment horizontal="right" vertical="center"/>
      <protection locked="0"/>
    </xf>
    <xf numFmtId="49" fontId="20" fillId="0" borderId="44" xfId="0" applyNumberFormat="1" applyFont="1" applyBorder="1" applyAlignment="1" applyProtection="1">
      <alignment horizontal="center" vertical="center" shrinkToFit="1"/>
      <protection locked="0"/>
    </xf>
    <xf numFmtId="49" fontId="20" fillId="0" borderId="44" xfId="0" applyNumberFormat="1" applyFont="1" applyBorder="1" applyAlignment="1" applyProtection="1">
      <alignment horizontal="center" vertical="center" wrapText="1"/>
      <protection locked="0"/>
    </xf>
    <xf numFmtId="49" fontId="20" fillId="0" borderId="50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>
      <alignment horizontal="center" vertical="center"/>
    </xf>
    <xf numFmtId="176" fontId="20" fillId="0" borderId="31" xfId="0" applyNumberFormat="1" applyFont="1" applyBorder="1" applyAlignment="1">
      <alignment horizontal="right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 wrapText="1" shrinkToFit="1"/>
      <protection locked="0"/>
    </xf>
    <xf numFmtId="49" fontId="20" fillId="0" borderId="47" xfId="0" applyNumberFormat="1" applyFont="1" applyBorder="1" applyAlignment="1" applyProtection="1">
      <alignment horizontal="center" vertical="center"/>
      <protection locked="0"/>
    </xf>
    <xf numFmtId="0" fontId="53" fillId="0" borderId="31" xfId="0" applyFont="1" applyBorder="1" applyAlignment="1">
      <alignment horizontal="center" vertical="center"/>
    </xf>
    <xf numFmtId="176" fontId="53" fillId="0" borderId="31" xfId="0" applyNumberFormat="1" applyFont="1" applyBorder="1" applyAlignment="1">
      <alignment horizontal="right" vertical="center"/>
    </xf>
    <xf numFmtId="176" fontId="53" fillId="0" borderId="4" xfId="0" quotePrefix="1" applyNumberFormat="1" applyFont="1" applyBorder="1" applyAlignment="1">
      <alignment horizontal="right" vertical="center"/>
    </xf>
    <xf numFmtId="176" fontId="53" fillId="0" borderId="4" xfId="0" applyNumberFormat="1" applyFont="1" applyBorder="1" applyAlignment="1">
      <alignment horizontal="right" vertical="center"/>
    </xf>
    <xf numFmtId="49" fontId="53" fillId="0" borderId="4" xfId="0" applyNumberFormat="1" applyFont="1" applyBorder="1" applyAlignment="1" applyProtection="1">
      <alignment horizontal="center" vertical="center"/>
      <protection locked="0"/>
    </xf>
    <xf numFmtId="49" fontId="53" fillId="0" borderId="44" xfId="0" applyNumberFormat="1" applyFont="1" applyBorder="1" applyAlignment="1" applyProtection="1">
      <alignment horizontal="center" vertical="center"/>
      <protection locked="0"/>
    </xf>
    <xf numFmtId="176" fontId="53" fillId="0" borderId="44" xfId="0" applyNumberFormat="1" applyFont="1" applyBorder="1" applyAlignment="1" applyProtection="1">
      <alignment horizontal="right" vertical="center"/>
      <protection locked="0"/>
    </xf>
    <xf numFmtId="180" fontId="53" fillId="0" borderId="4" xfId="0" applyNumberFormat="1" applyFont="1" applyBorder="1" applyAlignment="1">
      <alignment horizontal="right" vertical="center"/>
    </xf>
    <xf numFmtId="177" fontId="53" fillId="0" borderId="4" xfId="0" applyNumberFormat="1" applyFont="1" applyFill="1" applyBorder="1" applyAlignment="1">
      <alignment horizontal="right" vertical="center"/>
    </xf>
    <xf numFmtId="49" fontId="35" fillId="0" borderId="4" xfId="11" applyNumberFormat="1" applyFont="1" applyFill="1" applyBorder="1" applyAlignment="1" applyProtection="1">
      <alignment horizontal="center" vertical="center" wrapText="1"/>
    </xf>
    <xf numFmtId="181" fontId="53" fillId="0" borderId="4" xfId="0" quotePrefix="1" applyNumberFormat="1" applyFont="1" applyFill="1" applyBorder="1" applyAlignment="1">
      <alignment horizontal="right" vertical="center"/>
    </xf>
    <xf numFmtId="180" fontId="20" fillId="0" borderId="4" xfId="0" quotePrefix="1" applyNumberFormat="1" applyFont="1" applyBorder="1" applyAlignment="1">
      <alignment horizontal="right" vertical="center"/>
    </xf>
    <xf numFmtId="177" fontId="18" fillId="0" borderId="4" xfId="0" applyNumberFormat="1" applyFont="1" applyBorder="1" applyAlignment="1">
      <alignment horizontal="center" vertical="center"/>
    </xf>
    <xf numFmtId="177" fontId="55" fillId="0" borderId="4" xfId="0" applyNumberFormat="1" applyFont="1" applyBorder="1" applyAlignment="1">
      <alignment horizontal="center" vertical="center"/>
    </xf>
    <xf numFmtId="180" fontId="18" fillId="0" borderId="4" xfId="0" applyNumberFormat="1" applyFont="1" applyBorder="1" applyAlignment="1">
      <alignment horizontal="center" vertical="center"/>
    </xf>
    <xf numFmtId="180" fontId="55" fillId="0" borderId="4" xfId="0" applyNumberFormat="1" applyFont="1" applyBorder="1" applyAlignment="1">
      <alignment horizontal="center" vertical="center"/>
    </xf>
    <xf numFmtId="181" fontId="18" fillId="0" borderId="4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/>
    </xf>
    <xf numFmtId="181" fontId="9" fillId="0" borderId="4" xfId="0" applyNumberFormat="1" applyFont="1" applyBorder="1" applyAlignment="1">
      <alignment horizontal="center" vertical="center"/>
    </xf>
    <xf numFmtId="177" fontId="33" fillId="0" borderId="4" xfId="0" applyNumberFormat="1" applyFont="1" applyBorder="1" applyAlignment="1">
      <alignment horizontal="center" vertical="center"/>
    </xf>
    <xf numFmtId="177" fontId="56" fillId="0" borderId="4" xfId="0" applyNumberFormat="1" applyFont="1" applyBorder="1" applyAlignment="1">
      <alignment horizontal="center" vertical="center"/>
    </xf>
    <xf numFmtId="181" fontId="56" fillId="0" borderId="4" xfId="0" applyNumberFormat="1" applyFont="1" applyBorder="1" applyAlignment="1">
      <alignment horizontal="center" vertical="center"/>
    </xf>
    <xf numFmtId="177" fontId="57" fillId="0" borderId="4" xfId="0" applyNumberFormat="1" applyFont="1" applyBorder="1" applyAlignment="1">
      <alignment horizontal="center" vertical="center"/>
    </xf>
    <xf numFmtId="181" fontId="57" fillId="0" borderId="4" xfId="0" applyNumberFormat="1" applyFont="1" applyBorder="1" applyAlignment="1">
      <alignment horizontal="center" vertical="center"/>
    </xf>
    <xf numFmtId="176" fontId="54" fillId="0" borderId="4" xfId="0" applyNumberFormat="1" applyFont="1" applyFill="1" applyBorder="1" applyAlignment="1" applyProtection="1">
      <alignment horizontal="right" vertical="center"/>
      <protection locked="0"/>
    </xf>
    <xf numFmtId="0" fontId="36" fillId="0" borderId="0" xfId="11" applyFont="1" applyBorder="1" applyAlignment="1" applyProtection="1">
      <alignment horizontal="right" vertical="center"/>
    </xf>
    <xf numFmtId="0" fontId="20" fillId="0" borderId="4" xfId="9" applyNumberFormat="1" applyFont="1" applyFill="1" applyBorder="1" applyAlignment="1">
      <alignment horizontal="center" vertical="center"/>
    </xf>
    <xf numFmtId="0" fontId="20" fillId="0" borderId="4" xfId="9" applyNumberFormat="1" applyFont="1" applyFill="1" applyBorder="1" applyAlignment="1">
      <alignment horizontal="center" vertical="center" wrapText="1"/>
    </xf>
    <xf numFmtId="0" fontId="20" fillId="0" borderId="4" xfId="10" applyNumberFormat="1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1" fontId="58" fillId="0" borderId="31" xfId="0" applyNumberFormat="1" applyFont="1" applyFill="1" applyBorder="1" applyAlignment="1">
      <alignment horizontal="center" vertical="center" wrapText="1"/>
    </xf>
    <xf numFmtId="176" fontId="58" fillId="0" borderId="31" xfId="0" applyNumberFormat="1" applyFont="1" applyBorder="1" applyAlignment="1" applyProtection="1">
      <alignment horizontal="center" vertical="center" wrapText="1"/>
      <protection locked="0"/>
    </xf>
    <xf numFmtId="1" fontId="53" fillId="0" borderId="4" xfId="0" applyNumberFormat="1" applyFont="1" applyFill="1" applyBorder="1" applyAlignment="1">
      <alignment horizontal="center" vertical="center" wrapText="1"/>
    </xf>
    <xf numFmtId="176" fontId="58" fillId="0" borderId="4" xfId="0" applyNumberFormat="1" applyFont="1" applyBorder="1" applyAlignment="1" applyProtection="1">
      <alignment horizontal="center" vertical="center" wrapText="1"/>
      <protection locked="0"/>
    </xf>
    <xf numFmtId="176" fontId="53" fillId="0" borderId="4" xfId="0" applyNumberFormat="1" applyFont="1" applyBorder="1" applyAlignment="1" applyProtection="1">
      <alignment horizontal="center" vertical="center" wrapText="1"/>
      <protection locked="0"/>
    </xf>
    <xf numFmtId="1" fontId="58" fillId="0" borderId="4" xfId="0" applyNumberFormat="1" applyFont="1" applyFill="1" applyBorder="1" applyAlignment="1">
      <alignment horizontal="center" vertical="center" wrapText="1"/>
    </xf>
    <xf numFmtId="1" fontId="59" fillId="0" borderId="4" xfId="0" applyNumberFormat="1" applyFont="1" applyFill="1" applyBorder="1" applyAlignment="1">
      <alignment horizontal="center" vertical="center" wrapText="1"/>
    </xf>
    <xf numFmtId="0" fontId="53" fillId="0" borderId="4" xfId="0" applyFont="1" applyBorder="1" applyAlignment="1" applyProtection="1">
      <alignment horizontal="center" vertical="center" wrapText="1"/>
      <protection locked="0"/>
    </xf>
    <xf numFmtId="186" fontId="53" fillId="0" borderId="4" xfId="0" applyNumberFormat="1" applyFont="1" applyBorder="1" applyAlignment="1" applyProtection="1">
      <alignment horizontal="center" vertical="center" wrapText="1"/>
      <protection locked="0"/>
    </xf>
    <xf numFmtId="1" fontId="53" fillId="0" borderId="34" xfId="0" applyNumberFormat="1" applyFont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 shrinkToFit="1"/>
    </xf>
    <xf numFmtId="0" fontId="53" fillId="0" borderId="4" xfId="0" applyFont="1" applyBorder="1" applyAlignment="1">
      <alignment horizontal="center" vertical="center" wrapText="1"/>
    </xf>
    <xf numFmtId="49" fontId="53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53" fillId="0" borderId="4" xfId="0" applyNumberFormat="1" applyFont="1" applyBorder="1" applyAlignment="1" applyProtection="1">
      <alignment horizontal="center" vertical="center" wrapText="1"/>
      <protection locked="0"/>
    </xf>
    <xf numFmtId="1" fontId="53" fillId="0" borderId="31" xfId="0" applyNumberFormat="1" applyFont="1" applyFill="1" applyBorder="1" applyAlignment="1">
      <alignment horizontal="center" vertical="center" wrapText="1"/>
    </xf>
    <xf numFmtId="49" fontId="53" fillId="0" borderId="4" xfId="11" applyNumberFormat="1" applyFont="1" applyFill="1" applyBorder="1" applyAlignment="1" applyProtection="1">
      <alignment horizontal="center" vertical="center" wrapText="1"/>
    </xf>
    <xf numFmtId="1" fontId="53" fillId="0" borderId="45" xfId="0" applyNumberFormat="1" applyFont="1" applyFill="1" applyBorder="1" applyAlignment="1">
      <alignment horizontal="center" vertical="center" wrapText="1"/>
    </xf>
    <xf numFmtId="1" fontId="60" fillId="0" borderId="4" xfId="0" applyNumberFormat="1" applyFont="1" applyFill="1" applyBorder="1" applyAlignment="1">
      <alignment horizontal="center" vertical="center" wrapText="1"/>
    </xf>
    <xf numFmtId="0" fontId="53" fillId="0" borderId="31" xfId="0" applyFont="1" applyBorder="1" applyAlignment="1" applyProtection="1">
      <alignment horizontal="center" vertical="center" wrapText="1"/>
      <protection locked="0"/>
    </xf>
    <xf numFmtId="176" fontId="53" fillId="0" borderId="31" xfId="0" applyNumberFormat="1" applyFont="1" applyBorder="1" applyAlignment="1" applyProtection="1">
      <alignment horizontal="center" vertical="center" wrapText="1"/>
      <protection locked="0"/>
    </xf>
    <xf numFmtId="0" fontId="53" fillId="0" borderId="4" xfId="0" applyNumberFormat="1" applyFont="1" applyBorder="1" applyAlignment="1" applyProtection="1">
      <alignment horizontal="center" vertical="center"/>
      <protection locked="0"/>
    </xf>
    <xf numFmtId="1" fontId="61" fillId="0" borderId="4" xfId="0" applyNumberFormat="1" applyFont="1" applyFill="1" applyBorder="1" applyAlignment="1">
      <alignment horizontal="center" vertical="center" wrapText="1"/>
    </xf>
    <xf numFmtId="49" fontId="61" fillId="0" borderId="4" xfId="11" applyNumberFormat="1" applyFont="1" applyFill="1" applyBorder="1" applyAlignment="1" applyProtection="1">
      <alignment horizontal="center" vertical="center" wrapText="1"/>
    </xf>
    <xf numFmtId="1" fontId="53" fillId="0" borderId="4" xfId="0" applyNumberFormat="1" applyFont="1" applyBorder="1" applyAlignment="1">
      <alignment horizontal="center" vertical="center" wrapText="1"/>
    </xf>
    <xf numFmtId="49" fontId="53" fillId="0" borderId="31" xfId="11" applyNumberFormat="1" applyFont="1" applyFill="1" applyBorder="1" applyAlignment="1" applyProtection="1">
      <alignment horizontal="center" vertical="center" wrapText="1"/>
    </xf>
    <xf numFmtId="0" fontId="53" fillId="0" borderId="4" xfId="0" applyNumberFormat="1" applyFont="1" applyBorder="1" applyAlignment="1" applyProtection="1">
      <alignment horizontal="center" vertical="center" shrinkToFit="1"/>
      <protection locked="0"/>
    </xf>
    <xf numFmtId="176" fontId="53" fillId="0" borderId="4" xfId="0" applyNumberFormat="1" applyFont="1" applyBorder="1" applyAlignment="1">
      <alignment horizontal="center" vertical="center" wrapText="1"/>
    </xf>
    <xf numFmtId="1" fontId="53" fillId="0" borderId="44" xfId="0" applyNumberFormat="1" applyFont="1" applyFill="1" applyBorder="1" applyAlignment="1">
      <alignment horizontal="center" vertical="center" wrapText="1"/>
    </xf>
    <xf numFmtId="176" fontId="53" fillId="0" borderId="31" xfId="0" applyNumberFormat="1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center" vertical="center" shrinkToFit="1"/>
    </xf>
    <xf numFmtId="49" fontId="53" fillId="0" borderId="4" xfId="0" applyNumberFormat="1" applyFont="1" applyFill="1" applyBorder="1" applyAlignment="1" applyProtection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49" fontId="53" fillId="0" borderId="4" xfId="0" applyNumberFormat="1" applyFont="1" applyBorder="1" applyAlignment="1" applyProtection="1">
      <alignment horizontal="center" vertical="center" shrinkToFit="1"/>
      <protection locked="0"/>
    </xf>
    <xf numFmtId="49" fontId="53" fillId="0" borderId="44" xfId="0" applyNumberFormat="1" applyFont="1" applyBorder="1" applyAlignment="1" applyProtection="1">
      <alignment horizontal="center" vertical="center" shrinkToFit="1"/>
      <protection locked="0"/>
    </xf>
    <xf numFmtId="49" fontId="53" fillId="0" borderId="44" xfId="0" applyNumberFormat="1" applyFont="1" applyBorder="1" applyAlignment="1" applyProtection="1">
      <alignment horizontal="center" vertical="center" wrapText="1"/>
      <protection locked="0"/>
    </xf>
    <xf numFmtId="49" fontId="53" fillId="0" borderId="31" xfId="0" applyNumberFormat="1" applyFont="1" applyBorder="1" applyAlignment="1" applyProtection="1">
      <alignment horizontal="center" vertical="center" wrapText="1" shrinkToFit="1"/>
      <protection locked="0"/>
    </xf>
    <xf numFmtId="1" fontId="62" fillId="0" borderId="4" xfId="0" applyNumberFormat="1" applyFont="1" applyFill="1" applyBorder="1" applyAlignment="1">
      <alignment horizontal="center" vertical="center" wrapText="1"/>
    </xf>
    <xf numFmtId="1" fontId="61" fillId="0" borderId="31" xfId="0" applyNumberFormat="1" applyFont="1" applyFill="1" applyBorder="1" applyAlignment="1">
      <alignment horizontal="center" vertical="center" wrapText="1"/>
    </xf>
    <xf numFmtId="1" fontId="63" fillId="0" borderId="4" xfId="0" applyNumberFormat="1" applyFont="1" applyFill="1" applyBorder="1" applyAlignment="1">
      <alignment horizontal="center" vertical="center" wrapText="1"/>
    </xf>
    <xf numFmtId="176" fontId="20" fillId="0" borderId="4" xfId="9" applyNumberFormat="1" applyFont="1" applyFill="1" applyBorder="1" applyAlignment="1">
      <alignment horizontal="right" vertical="center"/>
    </xf>
    <xf numFmtId="176" fontId="20" fillId="0" borderId="4" xfId="10" applyNumberFormat="1" applyFont="1" applyFill="1" applyBorder="1" applyAlignment="1">
      <alignment horizontal="right" vertical="center"/>
    </xf>
    <xf numFmtId="178" fontId="53" fillId="0" borderId="4" xfId="0" applyNumberFormat="1" applyFont="1" applyFill="1" applyBorder="1" applyAlignment="1" applyProtection="1">
      <alignment horizontal="center" vertical="center"/>
      <protection locked="0"/>
    </xf>
    <xf numFmtId="1" fontId="35" fillId="0" borderId="4" xfId="0" applyNumberFormat="1" applyFont="1" applyFill="1" applyBorder="1" applyAlignment="1">
      <alignment horizontal="center" vertical="center" wrapText="1"/>
    </xf>
    <xf numFmtId="176" fontId="32" fillId="0" borderId="4" xfId="0" applyNumberFormat="1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49" fontId="32" fillId="0" borderId="4" xfId="0" applyNumberFormat="1" applyFont="1" applyBorder="1" applyAlignment="1" applyProtection="1">
      <alignment horizontal="center" vertical="center" wrapText="1"/>
      <protection locked="0"/>
    </xf>
    <xf numFmtId="1" fontId="32" fillId="0" borderId="31" xfId="0" applyNumberFormat="1" applyFont="1" applyFill="1" applyBorder="1" applyAlignment="1">
      <alignment horizontal="center" vertical="center" wrapText="1"/>
    </xf>
    <xf numFmtId="186" fontId="58" fillId="0" borderId="31" xfId="0" applyNumberFormat="1" applyFont="1" applyBorder="1" applyAlignment="1" applyProtection="1">
      <alignment horizontal="center" vertical="center" wrapText="1"/>
      <protection locked="0"/>
    </xf>
    <xf numFmtId="186" fontId="32" fillId="0" borderId="31" xfId="0" applyNumberFormat="1" applyFont="1" applyBorder="1" applyAlignment="1" applyProtection="1">
      <alignment horizontal="center" vertical="center" wrapText="1"/>
      <protection locked="0"/>
    </xf>
    <xf numFmtId="176" fontId="32" fillId="0" borderId="31" xfId="0" applyNumberFormat="1" applyFont="1" applyBorder="1" applyAlignment="1" applyProtection="1">
      <alignment horizontal="center" vertical="center" wrapText="1"/>
      <protection locked="0"/>
    </xf>
    <xf numFmtId="49" fontId="58" fillId="0" borderId="4" xfId="11" applyNumberFormat="1" applyFont="1" applyFill="1" applyBorder="1" applyAlignment="1" applyProtection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49" fontId="35" fillId="0" borderId="4" xfId="0" applyNumberFormat="1" applyFont="1" applyBorder="1" applyAlignment="1" applyProtection="1">
      <alignment horizontal="center" vertical="center" wrapText="1"/>
      <protection locked="0"/>
    </xf>
    <xf numFmtId="49" fontId="35" fillId="0" borderId="44" xfId="0" applyNumberFormat="1" applyFont="1" applyBorder="1" applyAlignment="1" applyProtection="1">
      <alignment horizontal="center" vertical="center" wrapText="1"/>
      <protection locked="0"/>
    </xf>
    <xf numFmtId="49" fontId="32" fillId="0" borderId="31" xfId="0" applyNumberFormat="1" applyFont="1" applyBorder="1" applyAlignment="1" applyProtection="1">
      <alignment horizontal="center" vertical="center" wrapText="1"/>
      <protection locked="0"/>
    </xf>
    <xf numFmtId="176" fontId="32" fillId="0" borderId="4" xfId="0" applyNumberFormat="1" applyFont="1" applyBorder="1" applyAlignment="1">
      <alignment horizontal="center" vertical="center" wrapText="1"/>
    </xf>
    <xf numFmtId="176" fontId="32" fillId="0" borderId="31" xfId="0" applyNumberFormat="1" applyFont="1" applyBorder="1" applyAlignment="1">
      <alignment horizontal="center" vertical="center" wrapText="1"/>
    </xf>
    <xf numFmtId="1" fontId="32" fillId="0" borderId="44" xfId="0" applyNumberFormat="1" applyFont="1" applyFill="1" applyBorder="1" applyAlignment="1">
      <alignment horizontal="center" vertical="center" wrapText="1"/>
    </xf>
    <xf numFmtId="0" fontId="54" fillId="0" borderId="44" xfId="0" applyNumberFormat="1" applyFont="1" applyFill="1" applyBorder="1" applyAlignment="1" applyProtection="1">
      <alignment horizontal="center" vertical="center" wrapText="1"/>
    </xf>
    <xf numFmtId="49" fontId="54" fillId="0" borderId="44" xfId="0" applyNumberFormat="1" applyFont="1" applyFill="1" applyBorder="1" applyAlignment="1" applyProtection="1">
      <alignment horizontal="center" vertical="center" wrapText="1"/>
    </xf>
    <xf numFmtId="0" fontId="54" fillId="0" borderId="44" xfId="0" applyNumberFormat="1" applyFont="1" applyFill="1" applyBorder="1" applyAlignment="1" applyProtection="1">
      <alignment horizontal="center" vertical="center"/>
    </xf>
    <xf numFmtId="41" fontId="54" fillId="0" borderId="44" xfId="6" applyNumberFormat="1" applyFont="1" applyFill="1" applyBorder="1" applyAlignment="1" applyProtection="1">
      <alignment horizontal="center" vertical="center" wrapText="1"/>
    </xf>
    <xf numFmtId="176" fontId="54" fillId="0" borderId="31" xfId="0" applyNumberFormat="1" applyFont="1" applyFill="1" applyBorder="1" applyAlignment="1" applyProtection="1">
      <alignment horizontal="right" vertical="center"/>
      <protection locked="0"/>
    </xf>
    <xf numFmtId="1" fontId="54" fillId="0" borderId="31" xfId="0" applyNumberFormat="1" applyFont="1" applyFill="1" applyBorder="1" applyAlignment="1">
      <alignment horizontal="center" vertical="center"/>
    </xf>
    <xf numFmtId="176" fontId="54" fillId="0" borderId="31" xfId="0" applyNumberFormat="1" applyFont="1" applyFill="1" applyBorder="1" applyAlignment="1">
      <alignment horizontal="right" vertical="center"/>
    </xf>
    <xf numFmtId="176" fontId="54" fillId="0" borderId="31" xfId="6" applyNumberFormat="1" applyFont="1" applyFill="1" applyBorder="1" applyAlignment="1">
      <alignment horizontal="right" vertical="center"/>
    </xf>
    <xf numFmtId="1" fontId="54" fillId="0" borderId="4" xfId="0" applyNumberFormat="1" applyFont="1" applyFill="1" applyBorder="1" applyAlignment="1">
      <alignment horizontal="center" vertical="center"/>
    </xf>
    <xf numFmtId="176" fontId="54" fillId="0" borderId="4" xfId="6" applyNumberFormat="1" applyFont="1" applyFill="1" applyBorder="1" applyAlignment="1">
      <alignment horizontal="right" vertical="center"/>
    </xf>
    <xf numFmtId="1" fontId="54" fillId="0" borderId="4" xfId="0" quotePrefix="1" applyNumberFormat="1" applyFont="1" applyFill="1" applyBorder="1" applyAlignment="1">
      <alignment horizontal="center" vertical="center"/>
    </xf>
    <xf numFmtId="176" fontId="54" fillId="0" borderId="51" xfId="6" applyNumberFormat="1" applyFont="1" applyFill="1" applyBorder="1" applyAlignment="1">
      <alignment horizontal="right" vertical="center"/>
    </xf>
    <xf numFmtId="0" fontId="54" fillId="0" borderId="34" xfId="11" applyFont="1" applyBorder="1" applyAlignment="1" applyProtection="1">
      <alignment horizontal="centerContinuous" vertical="center"/>
    </xf>
    <xf numFmtId="1" fontId="54" fillId="0" borderId="34" xfId="0" applyNumberFormat="1" applyFont="1" applyBorder="1" applyAlignment="1">
      <alignment horizontal="center" vertical="center"/>
    </xf>
    <xf numFmtId="176" fontId="54" fillId="0" borderId="4" xfId="0" applyNumberFormat="1" applyFont="1" applyFill="1" applyBorder="1" applyAlignment="1" applyProtection="1">
      <alignment horizontal="center" vertical="center"/>
      <protection locked="0"/>
    </xf>
    <xf numFmtId="49" fontId="5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4" fillId="0" borderId="4" xfId="0" applyNumberFormat="1" applyFont="1" applyFill="1" applyBorder="1" applyAlignment="1" applyProtection="1">
      <alignment horizontal="center" vertical="center"/>
    </xf>
    <xf numFmtId="176" fontId="54" fillId="0" borderId="31" xfId="0" applyNumberFormat="1" applyFont="1" applyFill="1" applyBorder="1" applyAlignment="1" applyProtection="1">
      <alignment horizontal="center" vertical="center"/>
      <protection locked="0"/>
    </xf>
    <xf numFmtId="49" fontId="54" fillId="0" borderId="31" xfId="0" applyNumberFormat="1" applyFont="1" applyFill="1" applyBorder="1" applyAlignment="1">
      <alignment horizontal="center" vertical="center"/>
    </xf>
    <xf numFmtId="17" fontId="54" fillId="0" borderId="4" xfId="0" applyNumberFormat="1" applyFont="1" applyFill="1" applyBorder="1" applyAlignment="1">
      <alignment horizontal="center" vertical="center"/>
    </xf>
    <xf numFmtId="49" fontId="54" fillId="0" borderId="4" xfId="0" applyNumberFormat="1" applyFont="1" applyFill="1" applyBorder="1" applyAlignment="1" applyProtection="1">
      <alignment horizontal="center" vertical="center"/>
      <protection locked="0"/>
    </xf>
    <xf numFmtId="0" fontId="54" fillId="0" borderId="4" xfId="11" applyFont="1" applyFill="1" applyBorder="1" applyAlignment="1" applyProtection="1">
      <alignment horizontal="centerContinuous" vertical="center"/>
    </xf>
    <xf numFmtId="176" fontId="54" fillId="0" borderId="4" xfId="11" applyNumberFormat="1" applyFont="1" applyFill="1" applyBorder="1" applyAlignment="1" applyProtection="1">
      <alignment horizontal="right" vertical="center"/>
    </xf>
    <xf numFmtId="41" fontId="54" fillId="0" borderId="4" xfId="6" applyNumberFormat="1" applyFont="1" applyFill="1" applyBorder="1" applyAlignment="1">
      <alignment horizontal="right" vertical="center"/>
    </xf>
    <xf numFmtId="0" fontId="54" fillId="0" borderId="4" xfId="11" applyFont="1" applyBorder="1" applyAlignment="1" applyProtection="1">
      <alignment horizontal="center" vertical="center" wrapText="1"/>
    </xf>
    <xf numFmtId="0" fontId="54" fillId="0" borderId="4" xfId="11" applyFont="1" applyFill="1" applyBorder="1" applyAlignment="1" applyProtection="1">
      <alignment horizontal="center" vertical="center" wrapText="1"/>
    </xf>
    <xf numFmtId="1" fontId="54" fillId="0" borderId="4" xfId="0" applyNumberFormat="1" applyFont="1" applyBorder="1" applyAlignment="1">
      <alignment horizontal="center" vertical="center"/>
    </xf>
    <xf numFmtId="41" fontId="54" fillId="0" borderId="4" xfId="6" applyNumberFormat="1" applyFont="1" applyBorder="1" applyAlignment="1">
      <alignment horizontal="center" vertical="center"/>
    </xf>
    <xf numFmtId="17" fontId="54" fillId="0" borderId="4" xfId="0" applyNumberFormat="1" applyFont="1" applyBorder="1" applyAlignment="1">
      <alignment horizontal="center" vertical="center"/>
    </xf>
    <xf numFmtId="0" fontId="54" fillId="0" borderId="4" xfId="0" quotePrefix="1" applyFont="1" applyBorder="1" applyAlignment="1">
      <alignment horizontal="center" vertical="center"/>
    </xf>
    <xf numFmtId="179" fontId="54" fillId="0" borderId="4" xfId="0" applyNumberFormat="1" applyFont="1" applyBorder="1" applyAlignment="1">
      <alignment horizontal="center" vertical="center"/>
    </xf>
    <xf numFmtId="176" fontId="54" fillId="0" borderId="34" xfId="11" applyNumberFormat="1" applyFont="1" applyBorder="1" applyAlignment="1" applyProtection="1">
      <alignment horizontal="center" vertical="center"/>
    </xf>
    <xf numFmtId="0" fontId="54" fillId="0" borderId="34" xfId="11" applyFont="1" applyBorder="1" applyAlignment="1" applyProtection="1">
      <alignment horizontal="center" vertical="center"/>
    </xf>
    <xf numFmtId="176" fontId="20" fillId="0" borderId="4" xfId="9" applyNumberFormat="1" applyFont="1" applyFill="1" applyBorder="1" applyAlignment="1">
      <alignment horizontal="right" vertical="center" wrapText="1"/>
    </xf>
    <xf numFmtId="176" fontId="20" fillId="0" borderId="4" xfId="10" applyNumberFormat="1" applyFont="1" applyFill="1" applyBorder="1" applyAlignment="1">
      <alignment horizontal="right" vertical="center" wrapText="1"/>
    </xf>
    <xf numFmtId="176" fontId="20" fillId="0" borderId="4" xfId="9" quotePrefix="1" applyNumberFormat="1" applyFont="1" applyFill="1" applyBorder="1" applyAlignment="1">
      <alignment horizontal="right" vertical="center" wrapText="1"/>
    </xf>
    <xf numFmtId="41" fontId="54" fillId="0" borderId="4" xfId="6" applyNumberFormat="1" applyFont="1" applyBorder="1" applyAlignment="1">
      <alignment horizontal="right" vertical="center"/>
    </xf>
    <xf numFmtId="176" fontId="5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31" xfId="0" applyFont="1" applyFill="1" applyBorder="1" applyAlignment="1" applyProtection="1">
      <alignment horizontal="center" vertical="center" wrapText="1"/>
      <protection locked="0"/>
    </xf>
    <xf numFmtId="176" fontId="53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5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53" fillId="0" borderId="4" xfId="9" applyNumberFormat="1" applyFont="1" applyFill="1" applyBorder="1" applyAlignment="1">
      <alignment horizontal="center" vertical="center" wrapText="1"/>
    </xf>
    <xf numFmtId="176" fontId="54" fillId="0" borderId="34" xfId="6" applyNumberFormat="1" applyFont="1" applyBorder="1" applyAlignment="1">
      <alignment horizontal="right" vertical="center"/>
    </xf>
    <xf numFmtId="176" fontId="3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4" xfId="0" applyFont="1" applyBorder="1" applyAlignment="1">
      <alignment horizontal="center" vertical="center" wrapText="1"/>
    </xf>
    <xf numFmtId="0" fontId="35" fillId="0" borderId="4" xfId="9" applyNumberFormat="1" applyFont="1" applyFill="1" applyBorder="1" applyAlignment="1">
      <alignment horizontal="center" vertical="center" wrapText="1"/>
    </xf>
    <xf numFmtId="0" fontId="54" fillId="0" borderId="4" xfId="0" applyNumberFormat="1" applyFont="1" applyFill="1" applyBorder="1" applyAlignment="1" applyProtection="1">
      <alignment horizontal="center" vertical="center"/>
      <protection locked="0"/>
    </xf>
    <xf numFmtId="1" fontId="35" fillId="0" borderId="4" xfId="0" applyNumberFormat="1" applyFont="1" applyBorder="1" applyAlignment="1">
      <alignment horizontal="center" vertical="center" wrapText="1"/>
    </xf>
    <xf numFmtId="1" fontId="37" fillId="0" borderId="4" xfId="0" applyNumberFormat="1" applyFont="1" applyBorder="1" applyAlignment="1">
      <alignment horizontal="center" vertical="center" wrapText="1"/>
    </xf>
    <xf numFmtId="0" fontId="20" fillId="0" borderId="31" xfId="11" applyFont="1" applyBorder="1" applyAlignment="1" applyProtection="1">
      <alignment horizontal="center" vertical="center" wrapText="1"/>
    </xf>
    <xf numFmtId="41" fontId="20" fillId="0" borderId="31" xfId="6" applyNumberFormat="1" applyFont="1" applyBorder="1" applyAlignment="1">
      <alignment horizontal="center" vertical="center"/>
    </xf>
    <xf numFmtId="0" fontId="54" fillId="0" borderId="31" xfId="11" applyFont="1" applyBorder="1" applyAlignment="1" applyProtection="1">
      <alignment horizontal="center" vertical="center" wrapText="1"/>
    </xf>
    <xf numFmtId="1" fontId="20" fillId="0" borderId="31" xfId="0" applyNumberFormat="1" applyFont="1" applyBorder="1" applyAlignment="1">
      <alignment horizontal="center" vertical="center" wrapText="1"/>
    </xf>
    <xf numFmtId="49" fontId="20" fillId="0" borderId="47" xfId="0" applyNumberFormat="1" applyFont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center" vertical="center"/>
    </xf>
    <xf numFmtId="176" fontId="54" fillId="0" borderId="34" xfId="0" applyNumberFormat="1" applyFont="1" applyBorder="1" applyAlignment="1" applyProtection="1">
      <alignment horizontal="right" vertical="center"/>
      <protection locked="0"/>
    </xf>
    <xf numFmtId="49" fontId="54" fillId="0" borderId="34" xfId="0" applyNumberFormat="1" applyFont="1" applyBorder="1" applyAlignment="1" applyProtection="1">
      <alignment horizontal="center" vertical="center"/>
      <protection locked="0"/>
    </xf>
    <xf numFmtId="41" fontId="54" fillId="0" borderId="34" xfId="6" applyNumberFormat="1" applyFont="1" applyBorder="1" applyAlignment="1">
      <alignment horizontal="right" vertical="center"/>
    </xf>
    <xf numFmtId="49" fontId="20" fillId="0" borderId="34" xfId="0" applyNumberFormat="1" applyFont="1" applyBorder="1" applyAlignment="1" applyProtection="1">
      <alignment horizontal="center" vertical="center" shrinkToFit="1"/>
      <protection locked="0"/>
    </xf>
    <xf numFmtId="49" fontId="20" fillId="0" borderId="34" xfId="0" applyNumberFormat="1" applyFont="1" applyBorder="1" applyAlignment="1" applyProtection="1">
      <alignment horizontal="center" vertical="center" wrapText="1"/>
      <protection locked="0"/>
    </xf>
    <xf numFmtId="49" fontId="53" fillId="0" borderId="34" xfId="0" applyNumberFormat="1" applyFont="1" applyBorder="1" applyAlignment="1" applyProtection="1">
      <alignment horizontal="center" vertical="center" shrinkToFit="1"/>
      <protection locked="0"/>
    </xf>
    <xf numFmtId="49" fontId="53" fillId="0" borderId="34" xfId="0" applyNumberFormat="1" applyFont="1" applyBorder="1" applyAlignment="1" applyProtection="1">
      <alignment horizontal="center" vertical="center" wrapText="1"/>
      <protection locked="0"/>
    </xf>
    <xf numFmtId="0" fontId="54" fillId="0" borderId="31" xfId="0" applyFont="1" applyBorder="1" applyAlignment="1">
      <alignment horizontal="center" vertical="center"/>
    </xf>
    <xf numFmtId="41" fontId="54" fillId="0" borderId="31" xfId="6" applyNumberFormat="1" applyFont="1" applyBorder="1" applyAlignment="1">
      <alignment horizontal="center" vertical="center"/>
    </xf>
    <xf numFmtId="176" fontId="54" fillId="0" borderId="31" xfId="0" applyNumberFormat="1" applyFont="1" applyBorder="1" applyAlignment="1" applyProtection="1">
      <alignment horizontal="right" vertical="center"/>
      <protection locked="0"/>
    </xf>
    <xf numFmtId="0" fontId="54" fillId="0" borderId="34" xfId="11" applyFont="1" applyBorder="1" applyAlignment="1" applyProtection="1">
      <alignment horizontal="right" vertical="center"/>
    </xf>
    <xf numFmtId="0" fontId="20" fillId="0" borderId="31" xfId="9" applyNumberFormat="1" applyFont="1" applyFill="1" applyBorder="1" applyAlignment="1">
      <alignment horizontal="center" vertical="center"/>
    </xf>
    <xf numFmtId="176" fontId="20" fillId="0" borderId="31" xfId="9" applyNumberFormat="1" applyFont="1" applyFill="1" applyBorder="1" applyAlignment="1">
      <alignment horizontal="right" vertical="center"/>
    </xf>
    <xf numFmtId="176" fontId="54" fillId="0" borderId="31" xfId="0" applyNumberFormat="1" applyFont="1" applyBorder="1" applyAlignment="1">
      <alignment horizontal="right" vertical="center"/>
    </xf>
    <xf numFmtId="0" fontId="20" fillId="0" borderId="31" xfId="9" applyNumberFormat="1" applyFont="1" applyFill="1" applyBorder="1" applyAlignment="1">
      <alignment horizontal="center" vertical="center" wrapText="1"/>
    </xf>
    <xf numFmtId="0" fontId="53" fillId="0" borderId="31" xfId="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37" fillId="0" borderId="4" xfId="0" applyNumberFormat="1" applyFont="1" applyFill="1" applyBorder="1" applyAlignment="1" applyProtection="1">
      <alignment horizontal="center" vertical="center" wrapText="1"/>
    </xf>
    <xf numFmtId="41" fontId="20" fillId="0" borderId="4" xfId="6" applyNumberFormat="1" applyFont="1" applyFill="1" applyBorder="1" applyAlignment="1">
      <alignment horizontal="center" vertical="center"/>
    </xf>
    <xf numFmtId="179" fontId="20" fillId="0" borderId="4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/>
    </xf>
    <xf numFmtId="0" fontId="54" fillId="4" borderId="4" xfId="11" applyFont="1" applyFill="1" applyBorder="1" applyAlignment="1" applyProtection="1">
      <alignment horizontal="center" vertical="center" wrapText="1"/>
    </xf>
    <xf numFmtId="49" fontId="11" fillId="0" borderId="34" xfId="0" applyNumberFormat="1" applyFont="1" applyBorder="1" applyAlignment="1" applyProtection="1">
      <alignment horizontal="center" vertical="center" wrapText="1"/>
      <protection locked="0"/>
    </xf>
    <xf numFmtId="187" fontId="11" fillId="0" borderId="4" xfId="0" applyNumberFormat="1" applyFont="1" applyBorder="1" applyAlignment="1">
      <alignment horizontal="center" vertical="center" wrapText="1"/>
    </xf>
    <xf numFmtId="49" fontId="61" fillId="0" borderId="4" xfId="0" applyNumberFormat="1" applyFont="1" applyFill="1" applyBorder="1" applyAlignment="1" applyProtection="1">
      <alignment horizontal="center" vertical="center" wrapText="1"/>
    </xf>
    <xf numFmtId="0" fontId="58" fillId="0" borderId="4" xfId="9" applyNumberFormat="1" applyFont="1" applyFill="1" applyBorder="1" applyAlignment="1">
      <alignment horizontal="center" vertical="center" wrapText="1"/>
    </xf>
    <xf numFmtId="49" fontId="58" fillId="0" borderId="4" xfId="0" applyNumberFormat="1" applyFont="1" applyBorder="1" applyAlignment="1" applyProtection="1">
      <alignment horizontal="center" vertical="center" wrapText="1"/>
      <protection locked="0"/>
    </xf>
    <xf numFmtId="41" fontId="54" fillId="0" borderId="4" xfId="6" applyNumberFormat="1" applyFont="1" applyFill="1" applyBorder="1" applyAlignment="1">
      <alignment horizontal="center" vertical="center"/>
    </xf>
    <xf numFmtId="1" fontId="38" fillId="0" borderId="4" xfId="0" applyNumberFormat="1" applyFont="1" applyBorder="1" applyAlignment="1">
      <alignment horizontal="center" vertical="center" wrapText="1"/>
    </xf>
    <xf numFmtId="0" fontId="32" fillId="0" borderId="4" xfId="9" applyNumberFormat="1" applyFont="1" applyFill="1" applyBorder="1" applyAlignment="1">
      <alignment horizontal="center" vertical="center" wrapText="1"/>
    </xf>
    <xf numFmtId="49" fontId="63" fillId="0" borderId="4" xfId="0" applyNumberFormat="1" applyFont="1" applyBorder="1" applyAlignment="1" applyProtection="1">
      <alignment horizontal="center" vertical="center" wrapText="1"/>
      <protection locked="0"/>
    </xf>
    <xf numFmtId="49" fontId="59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44" xfId="9" applyNumberFormat="1" applyFont="1" applyFill="1" applyBorder="1" applyAlignment="1">
      <alignment horizontal="center" vertical="center"/>
    </xf>
    <xf numFmtId="176" fontId="20" fillId="0" borderId="44" xfId="9" applyNumberFormat="1" applyFont="1" applyFill="1" applyBorder="1" applyAlignment="1">
      <alignment horizontal="right" vertical="center" wrapText="1"/>
    </xf>
    <xf numFmtId="176" fontId="54" fillId="0" borderId="44" xfId="0" applyNumberFormat="1" applyFont="1" applyBorder="1" applyAlignment="1">
      <alignment horizontal="right" vertical="center"/>
    </xf>
    <xf numFmtId="0" fontId="54" fillId="0" borderId="44" xfId="0" applyFont="1" applyBorder="1" applyAlignment="1">
      <alignment horizontal="center" vertical="center"/>
    </xf>
    <xf numFmtId="176" fontId="54" fillId="0" borderId="44" xfId="0" applyNumberFormat="1" applyFont="1" applyBorder="1" applyAlignment="1" applyProtection="1">
      <alignment horizontal="right" vertical="center"/>
      <protection locked="0"/>
    </xf>
    <xf numFmtId="0" fontId="20" fillId="0" borderId="44" xfId="9" applyNumberFormat="1" applyFont="1" applyFill="1" applyBorder="1" applyAlignment="1">
      <alignment horizontal="center" vertical="center" wrapText="1"/>
    </xf>
    <xf numFmtId="0" fontId="53" fillId="0" borderId="44" xfId="9" applyNumberFormat="1" applyFont="1" applyFill="1" applyBorder="1" applyAlignment="1">
      <alignment horizontal="center" vertical="center" wrapText="1"/>
    </xf>
    <xf numFmtId="0" fontId="20" fillId="0" borderId="45" xfId="9" applyNumberFormat="1" applyFont="1" applyFill="1" applyBorder="1" applyAlignment="1">
      <alignment horizontal="center" vertical="center"/>
    </xf>
    <xf numFmtId="176" fontId="20" fillId="0" borderId="45" xfId="9" applyNumberFormat="1" applyFont="1" applyFill="1" applyBorder="1" applyAlignment="1">
      <alignment horizontal="right" vertical="center"/>
    </xf>
    <xf numFmtId="176" fontId="54" fillId="0" borderId="45" xfId="0" applyNumberFormat="1" applyFont="1" applyBorder="1" applyAlignment="1">
      <alignment horizontal="right" vertical="center"/>
    </xf>
    <xf numFmtId="0" fontId="54" fillId="0" borderId="45" xfId="0" applyFont="1" applyBorder="1" applyAlignment="1">
      <alignment horizontal="center" vertical="center"/>
    </xf>
    <xf numFmtId="176" fontId="54" fillId="0" borderId="45" xfId="0" applyNumberFormat="1" applyFont="1" applyBorder="1" applyAlignment="1" applyProtection="1">
      <alignment horizontal="right" vertical="center"/>
      <protection locked="0"/>
    </xf>
    <xf numFmtId="0" fontId="20" fillId="0" borderId="45" xfId="9" applyNumberFormat="1" applyFont="1" applyFill="1" applyBorder="1" applyAlignment="1">
      <alignment horizontal="center" vertical="center" wrapText="1"/>
    </xf>
    <xf numFmtId="0" fontId="53" fillId="0" borderId="45" xfId="9" applyNumberFormat="1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1" fontId="20" fillId="0" borderId="45" xfId="0" applyNumberFormat="1" applyFont="1" applyBorder="1" applyAlignment="1">
      <alignment horizontal="center" vertical="center" wrapText="1"/>
    </xf>
    <xf numFmtId="176" fontId="20" fillId="0" borderId="31" xfId="9" quotePrefix="1" applyNumberFormat="1" applyFont="1" applyFill="1" applyBorder="1" applyAlignment="1">
      <alignment horizontal="right" vertical="center"/>
    </xf>
    <xf numFmtId="0" fontId="32" fillId="0" borderId="45" xfId="9" applyNumberFormat="1" applyFont="1" applyFill="1" applyBorder="1" applyAlignment="1">
      <alignment horizontal="center" vertical="center" wrapText="1"/>
    </xf>
    <xf numFmtId="17" fontId="20" fillId="0" borderId="45" xfId="0" applyNumberFormat="1" applyFont="1" applyBorder="1" applyAlignment="1">
      <alignment horizontal="center" vertical="center"/>
    </xf>
    <xf numFmtId="17" fontId="54" fillId="0" borderId="45" xfId="0" applyNumberFormat="1" applyFont="1" applyBorder="1" applyAlignment="1">
      <alignment horizontal="center" vertical="center"/>
    </xf>
    <xf numFmtId="41" fontId="54" fillId="0" borderId="45" xfId="6" applyNumberFormat="1" applyFont="1" applyBorder="1" applyAlignment="1">
      <alignment horizontal="center" vertical="center"/>
    </xf>
    <xf numFmtId="0" fontId="53" fillId="0" borderId="45" xfId="0" applyFont="1" applyBorder="1" applyAlignment="1">
      <alignment horizontal="center" vertical="center" wrapText="1"/>
    </xf>
    <xf numFmtId="0" fontId="54" fillId="0" borderId="45" xfId="11" applyFont="1" applyBorder="1" applyAlignment="1" applyProtection="1">
      <alignment horizontal="center" vertical="center" wrapText="1"/>
    </xf>
    <xf numFmtId="0" fontId="53" fillId="0" borderId="45" xfId="0" applyFont="1" applyBorder="1" applyAlignment="1">
      <alignment horizontal="center" vertical="center"/>
    </xf>
    <xf numFmtId="176" fontId="54" fillId="0" borderId="45" xfId="0" applyNumberFormat="1" applyFont="1" applyFill="1" applyBorder="1" applyAlignment="1" applyProtection="1">
      <alignment horizontal="center" vertical="center"/>
      <protection locked="0"/>
    </xf>
    <xf numFmtId="49" fontId="54" fillId="0" borderId="45" xfId="0" applyNumberFormat="1" applyFont="1" applyFill="1" applyBorder="1" applyAlignment="1" applyProtection="1">
      <alignment horizontal="center" vertical="center"/>
      <protection locked="0"/>
    </xf>
    <xf numFmtId="176" fontId="54" fillId="0" borderId="45" xfId="0" applyNumberFormat="1" applyFont="1" applyFill="1" applyBorder="1" applyAlignment="1" applyProtection="1">
      <alignment horizontal="right" vertical="center"/>
      <protection locked="0"/>
    </xf>
    <xf numFmtId="49" fontId="20" fillId="0" borderId="45" xfId="0" applyNumberFormat="1" applyFont="1" applyFill="1" applyBorder="1" applyAlignment="1" applyProtection="1">
      <alignment horizontal="center" vertical="center"/>
      <protection locked="0"/>
    </xf>
    <xf numFmtId="176" fontId="20" fillId="0" borderId="45" xfId="0" applyNumberFormat="1" applyFont="1" applyFill="1" applyBorder="1" applyAlignment="1" applyProtection="1">
      <alignment horizontal="right" vertical="center"/>
      <protection locked="0"/>
    </xf>
    <xf numFmtId="0" fontId="20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20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53" fillId="0" borderId="54" xfId="0" applyNumberFormat="1" applyFont="1" applyFill="1" applyBorder="1" applyAlignment="1" applyProtection="1">
      <alignment horizontal="center" vertical="center" wrapText="1"/>
      <protection locked="0"/>
    </xf>
    <xf numFmtId="178" fontId="20" fillId="0" borderId="4" xfId="0" applyNumberFormat="1" applyFont="1" applyFill="1" applyBorder="1" applyAlignment="1" applyProtection="1">
      <alignment horizontal="center" vertical="center"/>
      <protection locked="0"/>
    </xf>
    <xf numFmtId="178" fontId="20" fillId="0" borderId="31" xfId="0" applyNumberFormat="1" applyFont="1" applyFill="1" applyBorder="1" applyAlignment="1" applyProtection="1">
      <alignment horizontal="center" vertical="center"/>
      <protection locked="0"/>
    </xf>
    <xf numFmtId="178" fontId="20" fillId="0" borderId="4" xfId="0" applyNumberFormat="1" applyFont="1" applyFill="1" applyBorder="1" applyAlignment="1">
      <alignment horizontal="center" vertical="center"/>
    </xf>
    <xf numFmtId="178" fontId="20" fillId="0" borderId="45" xfId="0" applyNumberFormat="1" applyFont="1" applyFill="1" applyBorder="1" applyAlignment="1" applyProtection="1">
      <alignment horizontal="center" vertical="center"/>
      <protection locked="0"/>
    </xf>
    <xf numFmtId="49" fontId="20" fillId="0" borderId="45" xfId="0" applyNumberFormat="1" applyFont="1" applyFill="1" applyBorder="1" applyAlignment="1">
      <alignment horizontal="center" vertical="center"/>
    </xf>
    <xf numFmtId="49" fontId="54" fillId="0" borderId="45" xfId="0" applyNumberFormat="1" applyFont="1" applyFill="1" applyBorder="1" applyAlignment="1">
      <alignment horizontal="center" vertical="center"/>
    </xf>
    <xf numFmtId="1" fontId="54" fillId="0" borderId="45" xfId="0" applyNumberFormat="1" applyFont="1" applyFill="1" applyBorder="1" applyAlignment="1">
      <alignment horizontal="center" vertical="center"/>
    </xf>
    <xf numFmtId="176" fontId="20" fillId="0" borderId="45" xfId="0" applyNumberFormat="1" applyFont="1" applyFill="1" applyBorder="1" applyAlignment="1" applyProtection="1">
      <alignment horizontal="center" vertical="center"/>
      <protection locked="0"/>
    </xf>
    <xf numFmtId="176" fontId="20" fillId="0" borderId="45" xfId="6" applyNumberFormat="1" applyFont="1" applyFill="1" applyBorder="1" applyAlignment="1">
      <alignment horizontal="right" vertical="center"/>
    </xf>
    <xf numFmtId="176" fontId="54" fillId="0" borderId="45" xfId="0" applyNumberFormat="1" applyFont="1" applyFill="1" applyBorder="1" applyAlignment="1">
      <alignment horizontal="right" vertical="center"/>
    </xf>
    <xf numFmtId="176" fontId="54" fillId="0" borderId="45" xfId="6" applyNumberFormat="1" applyFont="1" applyFill="1" applyBorder="1" applyAlignment="1">
      <alignment horizontal="right" vertical="center"/>
    </xf>
    <xf numFmtId="0" fontId="20" fillId="0" borderId="45" xfId="0" applyFont="1" applyFill="1" applyBorder="1" applyAlignment="1" applyProtection="1">
      <alignment horizontal="center" vertical="center" wrapText="1"/>
      <protection locked="0"/>
    </xf>
    <xf numFmtId="0" fontId="53" fillId="0" borderId="45" xfId="0" applyFont="1" applyFill="1" applyBorder="1" applyAlignment="1" applyProtection="1">
      <alignment horizontal="center" vertical="center" wrapText="1"/>
      <protection locked="0"/>
    </xf>
    <xf numFmtId="176" fontId="53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31" xfId="0" applyNumberFormat="1" applyFont="1" applyFill="1" applyBorder="1" applyAlignment="1" applyProtection="1">
      <alignment horizontal="center" vertical="center"/>
      <protection locked="0"/>
    </xf>
    <xf numFmtId="0" fontId="20" fillId="0" borderId="45" xfId="0" applyNumberFormat="1" applyFont="1" applyFill="1" applyBorder="1" applyAlignment="1" applyProtection="1">
      <alignment horizontal="center" vertical="center"/>
      <protection locked="0"/>
    </xf>
    <xf numFmtId="1" fontId="54" fillId="0" borderId="31" xfId="0" quotePrefix="1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176" fontId="54" fillId="0" borderId="0" xfId="0" applyNumberFormat="1" applyFont="1" applyBorder="1" applyAlignment="1" applyProtection="1">
      <alignment horizontal="right" vertical="center"/>
      <protection locked="0"/>
    </xf>
    <xf numFmtId="49" fontId="54" fillId="0" borderId="31" xfId="0" applyNumberFormat="1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 shrinkToFit="1"/>
      <protection locked="0"/>
    </xf>
    <xf numFmtId="49" fontId="53" fillId="0" borderId="31" xfId="0" applyNumberFormat="1" applyFont="1" applyBorder="1" applyAlignment="1" applyProtection="1">
      <alignment horizontal="center" vertical="center" shrinkToFit="1"/>
      <protection locked="0"/>
    </xf>
    <xf numFmtId="41" fontId="20" fillId="0" borderId="45" xfId="6" applyNumberFormat="1" applyFont="1" applyBorder="1" applyAlignment="1">
      <alignment horizontal="right" vertical="center"/>
    </xf>
    <xf numFmtId="17" fontId="20" fillId="0" borderId="4" xfId="0" quotePrefix="1" applyNumberFormat="1" applyFont="1" applyBorder="1" applyAlignment="1">
      <alignment horizontal="center" vertical="center"/>
    </xf>
    <xf numFmtId="41" fontId="20" fillId="0" borderId="31" xfId="6" applyNumberFormat="1" applyFont="1" applyBorder="1" applyAlignment="1">
      <alignment horizontal="right" vertical="center"/>
    </xf>
    <xf numFmtId="1" fontId="20" fillId="0" borderId="48" xfId="0" applyNumberFormat="1" applyFont="1" applyFill="1" applyBorder="1" applyAlignment="1">
      <alignment horizontal="center" vertical="center"/>
    </xf>
    <xf numFmtId="17" fontId="20" fillId="0" borderId="4" xfId="9" applyNumberFormat="1" applyFont="1" applyFill="1" applyBorder="1" applyAlignment="1">
      <alignment horizontal="center" vertical="center"/>
    </xf>
    <xf numFmtId="17" fontId="20" fillId="0" borderId="4" xfId="9" quotePrefix="1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77" fontId="40" fillId="0" borderId="4" xfId="0" applyNumberFormat="1" applyFont="1" applyBorder="1" applyAlignment="1">
      <alignment horizontal="center" vertical="center"/>
    </xf>
    <xf numFmtId="177" fontId="64" fillId="0" borderId="4" xfId="0" applyNumberFormat="1" applyFont="1" applyBorder="1" applyAlignment="1">
      <alignment horizontal="center" vertical="center"/>
    </xf>
    <xf numFmtId="180" fontId="40" fillId="0" borderId="4" xfId="0" applyNumberFormat="1" applyFont="1" applyBorder="1" applyAlignment="1">
      <alignment horizontal="center" vertical="center"/>
    </xf>
    <xf numFmtId="180" fontId="64" fillId="0" borderId="4" xfId="0" applyNumberFormat="1" applyFont="1" applyBorder="1" applyAlignment="1">
      <alignment horizontal="center" vertical="center"/>
    </xf>
    <xf numFmtId="181" fontId="40" fillId="0" borderId="4" xfId="0" applyNumberFormat="1" applyFont="1" applyBorder="1" applyAlignment="1">
      <alignment horizontal="center" vertical="center"/>
    </xf>
    <xf numFmtId="177" fontId="64" fillId="0" borderId="4" xfId="0" applyNumberFormat="1" applyFont="1" applyFill="1" applyBorder="1" applyAlignment="1">
      <alignment horizontal="center" vertical="center"/>
    </xf>
    <xf numFmtId="181" fontId="64" fillId="0" borderId="4" xfId="0" applyNumberFormat="1" applyFont="1" applyFill="1" applyBorder="1" applyAlignment="1">
      <alignment horizontal="center" vertical="center"/>
    </xf>
    <xf numFmtId="177" fontId="41" fillId="0" borderId="4" xfId="0" applyNumberFormat="1" applyFont="1" applyBorder="1" applyAlignment="1">
      <alignment horizontal="center" vertical="center"/>
    </xf>
    <xf numFmtId="177" fontId="65" fillId="0" borderId="4" xfId="0" applyNumberFormat="1" applyFont="1" applyFill="1" applyBorder="1" applyAlignment="1">
      <alignment horizontal="center" vertical="center"/>
    </xf>
    <xf numFmtId="181" fontId="41" fillId="0" borderId="4" xfId="0" applyNumberFormat="1" applyFont="1" applyBorder="1" applyAlignment="1">
      <alignment horizontal="center" vertical="center"/>
    </xf>
    <xf numFmtId="181" fontId="65" fillId="0" borderId="4" xfId="0" applyNumberFormat="1" applyFont="1" applyFill="1" applyBorder="1" applyAlignment="1">
      <alignment horizontal="center" vertical="center"/>
    </xf>
    <xf numFmtId="177" fontId="42" fillId="0" borderId="4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Continuous" vertical="center"/>
    </xf>
    <xf numFmtId="0" fontId="41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177" fontId="40" fillId="0" borderId="45" xfId="0" applyNumberFormat="1" applyFont="1" applyBorder="1" applyAlignment="1">
      <alignment horizontal="center" vertical="center"/>
    </xf>
    <xf numFmtId="177" fontId="64" fillId="0" borderId="45" xfId="0" applyNumberFormat="1" applyFont="1" applyBorder="1" applyAlignment="1">
      <alignment horizontal="center" vertical="center"/>
    </xf>
    <xf numFmtId="180" fontId="40" fillId="0" borderId="45" xfId="0" applyNumberFormat="1" applyFont="1" applyBorder="1" applyAlignment="1">
      <alignment horizontal="center" vertical="center"/>
    </xf>
    <xf numFmtId="180" fontId="64" fillId="0" borderId="45" xfId="0" applyNumberFormat="1" applyFont="1" applyBorder="1" applyAlignment="1">
      <alignment horizontal="center" vertical="center"/>
    </xf>
    <xf numFmtId="181" fontId="40" fillId="0" borderId="45" xfId="0" applyNumberFormat="1" applyFont="1" applyBorder="1" applyAlignment="1">
      <alignment horizontal="center" vertical="center"/>
    </xf>
    <xf numFmtId="177" fontId="41" fillId="0" borderId="45" xfId="0" applyNumberFormat="1" applyFont="1" applyBorder="1" applyAlignment="1">
      <alignment horizontal="center" vertical="center"/>
    </xf>
    <xf numFmtId="177" fontId="65" fillId="0" borderId="45" xfId="0" applyNumberFormat="1" applyFont="1" applyFill="1" applyBorder="1" applyAlignment="1">
      <alignment horizontal="center" vertical="center"/>
    </xf>
    <xf numFmtId="181" fontId="41" fillId="0" borderId="45" xfId="0" applyNumberFormat="1" applyFont="1" applyBorder="1" applyAlignment="1">
      <alignment horizontal="center" vertical="center"/>
    </xf>
    <xf numFmtId="181" fontId="65" fillId="0" borderId="45" xfId="0" applyNumberFormat="1" applyFont="1" applyFill="1" applyBorder="1" applyAlignment="1">
      <alignment horizontal="center" vertical="center"/>
    </xf>
    <xf numFmtId="0" fontId="40" fillId="0" borderId="31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5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181" fontId="40" fillId="0" borderId="5" xfId="0" applyNumberFormat="1" applyFont="1" applyBorder="1" applyAlignment="1">
      <alignment horizontal="center" vertical="center"/>
    </xf>
    <xf numFmtId="181" fontId="41" fillId="0" borderId="5" xfId="0" applyNumberFormat="1" applyFont="1" applyBorder="1" applyAlignment="1">
      <alignment horizontal="center" vertical="center"/>
    </xf>
    <xf numFmtId="177" fontId="40" fillId="0" borderId="34" xfId="0" applyNumberFormat="1" applyFont="1" applyBorder="1" applyAlignment="1">
      <alignment horizontal="center" vertical="center"/>
    </xf>
    <xf numFmtId="177" fontId="64" fillId="0" borderId="34" xfId="0" applyNumberFormat="1" applyFont="1" applyBorder="1" applyAlignment="1">
      <alignment horizontal="center" vertical="center"/>
    </xf>
    <xf numFmtId="180" fontId="40" fillId="0" borderId="34" xfId="0" applyNumberFormat="1" applyFont="1" applyBorder="1" applyAlignment="1">
      <alignment horizontal="center" vertical="center"/>
    </xf>
    <xf numFmtId="180" fontId="64" fillId="0" borderId="34" xfId="0" applyNumberFormat="1" applyFont="1" applyBorder="1" applyAlignment="1">
      <alignment horizontal="center" vertical="center"/>
    </xf>
    <xf numFmtId="181" fontId="40" fillId="0" borderId="34" xfId="0" applyNumberFormat="1" applyFont="1" applyBorder="1" applyAlignment="1">
      <alignment horizontal="center" vertical="center"/>
    </xf>
    <xf numFmtId="177" fontId="41" fillId="0" borderId="34" xfId="0" applyNumberFormat="1" applyFont="1" applyBorder="1" applyAlignment="1">
      <alignment horizontal="center" vertical="center"/>
    </xf>
    <xf numFmtId="177" fontId="65" fillId="0" borderId="34" xfId="0" applyNumberFormat="1" applyFont="1" applyFill="1" applyBorder="1" applyAlignment="1">
      <alignment horizontal="center" vertical="center"/>
    </xf>
    <xf numFmtId="181" fontId="41" fillId="0" borderId="34" xfId="0" applyNumberFormat="1" applyFont="1" applyBorder="1" applyAlignment="1">
      <alignment horizontal="center" vertical="center"/>
    </xf>
    <xf numFmtId="181" fontId="65" fillId="0" borderId="34" xfId="0" applyNumberFormat="1" applyFont="1" applyFill="1" applyBorder="1" applyAlignment="1">
      <alignment horizontal="center" vertical="center"/>
    </xf>
    <xf numFmtId="181" fontId="41" fillId="0" borderId="6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77" fontId="18" fillId="0" borderId="45" xfId="0" applyNumberFormat="1" applyFont="1" applyBorder="1" applyAlignment="1">
      <alignment horizontal="center" vertical="center"/>
    </xf>
    <xf numFmtId="177" fontId="55" fillId="0" borderId="45" xfId="0" applyNumberFormat="1" applyFont="1" applyBorder="1" applyAlignment="1">
      <alignment horizontal="center" vertical="center"/>
    </xf>
    <xf numFmtId="180" fontId="18" fillId="0" borderId="45" xfId="0" applyNumberFormat="1" applyFont="1" applyBorder="1" applyAlignment="1">
      <alignment horizontal="center" vertical="center"/>
    </xf>
    <xf numFmtId="180" fontId="55" fillId="0" borderId="45" xfId="0" applyNumberFormat="1" applyFont="1" applyBorder="1" applyAlignment="1">
      <alignment horizontal="center" vertical="center"/>
    </xf>
    <xf numFmtId="181" fontId="18" fillId="0" borderId="45" xfId="0" applyNumberFormat="1" applyFont="1" applyBorder="1" applyAlignment="1">
      <alignment horizontal="center" vertical="center"/>
    </xf>
    <xf numFmtId="177" fontId="11" fillId="0" borderId="45" xfId="0" applyNumberFormat="1" applyFont="1" applyBorder="1" applyAlignment="1">
      <alignment horizontal="center" vertical="center"/>
    </xf>
    <xf numFmtId="177" fontId="57" fillId="0" borderId="45" xfId="0" applyNumberFormat="1" applyFont="1" applyBorder="1" applyAlignment="1">
      <alignment horizontal="center" vertical="center"/>
    </xf>
    <xf numFmtId="181" fontId="11" fillId="0" borderId="45" xfId="0" applyNumberFormat="1" applyFont="1" applyBorder="1" applyAlignment="1">
      <alignment horizontal="center" vertical="center"/>
    </xf>
    <xf numFmtId="181" fontId="57" fillId="0" borderId="45" xfId="0" applyNumberFormat="1" applyFont="1" applyBorder="1" applyAlignment="1">
      <alignment horizontal="center" vertical="center"/>
    </xf>
    <xf numFmtId="177" fontId="56" fillId="0" borderId="45" xfId="0" applyNumberFormat="1" applyFont="1" applyBorder="1" applyAlignment="1">
      <alignment horizontal="center" vertical="center"/>
    </xf>
    <xf numFmtId="181" fontId="56" fillId="0" borderId="45" xfId="0" applyNumberFormat="1" applyFont="1" applyBorder="1" applyAlignment="1">
      <alignment horizontal="center" vertical="center"/>
    </xf>
    <xf numFmtId="181" fontId="9" fillId="0" borderId="45" xfId="0" applyNumberFormat="1" applyFont="1" applyBorder="1" applyAlignment="1">
      <alignment horizontal="center" vertical="center"/>
    </xf>
    <xf numFmtId="181" fontId="64" fillId="0" borderId="4" xfId="0" applyNumberFormat="1" applyFont="1" applyBorder="1" applyAlignment="1">
      <alignment horizontal="center" vertical="center"/>
    </xf>
    <xf numFmtId="177" fontId="65" fillId="0" borderId="4" xfId="0" applyNumberFormat="1" applyFont="1" applyBorder="1" applyAlignment="1">
      <alignment horizontal="center" vertical="center"/>
    </xf>
    <xf numFmtId="181" fontId="65" fillId="0" borderId="4" xfId="0" applyNumberFormat="1" applyFont="1" applyBorder="1" applyAlignment="1">
      <alignment horizontal="center" vertical="center"/>
    </xf>
    <xf numFmtId="177" fontId="65" fillId="0" borderId="34" xfId="0" applyNumberFormat="1" applyFont="1" applyBorder="1" applyAlignment="1">
      <alignment horizontal="center" vertical="center"/>
    </xf>
    <xf numFmtId="181" fontId="65" fillId="0" borderId="34" xfId="0" applyNumberFormat="1" applyFont="1" applyBorder="1" applyAlignment="1">
      <alignment horizontal="center" vertical="center"/>
    </xf>
    <xf numFmtId="181" fontId="64" fillId="0" borderId="34" xfId="0" applyNumberFormat="1" applyFont="1" applyBorder="1" applyAlignment="1">
      <alignment horizontal="center" vertical="center"/>
    </xf>
    <xf numFmtId="0" fontId="39" fillId="0" borderId="0" xfId="11" applyFont="1" applyAlignment="1" applyProtection="1">
      <alignment horizontal="centerContinuous" vertical="center"/>
    </xf>
    <xf numFmtId="177" fontId="43" fillId="0" borderId="0" xfId="0" applyNumberFormat="1" applyFont="1" applyAlignment="1">
      <alignment horizontal="centerContinuous" vertical="center"/>
    </xf>
    <xf numFmtId="177" fontId="40" fillId="0" borderId="56" xfId="0" applyNumberFormat="1" applyFont="1" applyBorder="1" applyAlignment="1">
      <alignment horizontal="centerContinuous" vertical="center"/>
    </xf>
    <xf numFmtId="177" fontId="40" fillId="0" borderId="57" xfId="0" applyNumberFormat="1" applyFont="1" applyBorder="1" applyAlignment="1">
      <alignment horizontal="centerContinuous" vertical="center"/>
    </xf>
    <xf numFmtId="177" fontId="40" fillId="0" borderId="18" xfId="0" applyNumberFormat="1" applyFont="1" applyBorder="1" applyAlignment="1">
      <alignment horizontal="center" vertical="center"/>
    </xf>
    <xf numFmtId="177" fontId="40" fillId="0" borderId="16" xfId="0" applyNumberFormat="1" applyFont="1" applyBorder="1" applyAlignment="1">
      <alignment horizontal="center" vertical="center"/>
    </xf>
    <xf numFmtId="177" fontId="40" fillId="0" borderId="25" xfId="0" applyNumberFormat="1" applyFont="1" applyBorder="1" applyAlignment="1">
      <alignment horizontal="center" vertical="center"/>
    </xf>
    <xf numFmtId="177" fontId="40" fillId="0" borderId="8" xfId="0" applyNumberFormat="1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177" fontId="40" fillId="0" borderId="11" xfId="12" applyNumberFormat="1" applyFont="1" applyBorder="1" applyAlignment="1">
      <alignment horizontal="center" vertical="center"/>
    </xf>
    <xf numFmtId="177" fontId="64" fillId="0" borderId="9" xfId="12" applyNumberFormat="1" applyFont="1" applyBorder="1" applyAlignment="1">
      <alignment horizontal="center" vertical="center"/>
    </xf>
    <xf numFmtId="177" fontId="40" fillId="0" borderId="12" xfId="0" applyNumberFormat="1" applyFont="1" applyBorder="1" applyAlignment="1">
      <alignment horizontal="center" vertical="center"/>
    </xf>
    <xf numFmtId="181" fontId="40" fillId="0" borderId="13" xfId="12" applyNumberFormat="1" applyFont="1" applyBorder="1" applyAlignment="1">
      <alignment horizontal="center" vertical="center"/>
    </xf>
    <xf numFmtId="181" fontId="64" fillId="0" borderId="13" xfId="12" applyNumberFormat="1" applyFont="1" applyBorder="1" applyAlignment="1">
      <alignment horizontal="center" vertical="center"/>
    </xf>
    <xf numFmtId="177" fontId="40" fillId="0" borderId="13" xfId="12" applyNumberFormat="1" applyFont="1" applyBorder="1" applyAlignment="1">
      <alignment horizontal="center" vertical="center"/>
    </xf>
    <xf numFmtId="177" fontId="64" fillId="0" borderId="13" xfId="12" applyNumberFormat="1" applyFont="1" applyBorder="1" applyAlignment="1">
      <alignment horizontal="center" vertical="center"/>
    </xf>
    <xf numFmtId="177" fontId="40" fillId="0" borderId="59" xfId="0" applyNumberFormat="1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177" fontId="41" fillId="0" borderId="14" xfId="12" applyNumberFormat="1" applyFont="1" applyFill="1" applyBorder="1" applyAlignment="1">
      <alignment horizontal="center" vertical="center"/>
    </xf>
    <xf numFmtId="177" fontId="65" fillId="0" borderId="26" xfId="12" applyNumberFormat="1" applyFont="1" applyBorder="1" applyAlignment="1">
      <alignment horizontal="center" vertical="center"/>
    </xf>
    <xf numFmtId="177" fontId="41" fillId="0" borderId="3" xfId="0" applyNumberFormat="1" applyFont="1" applyBorder="1" applyAlignment="1">
      <alignment horizontal="center" vertical="center"/>
    </xf>
    <xf numFmtId="177" fontId="41" fillId="0" borderId="15" xfId="12" applyNumberFormat="1" applyFont="1" applyFill="1" applyBorder="1" applyAlignment="1">
      <alignment horizontal="center" vertical="center"/>
    </xf>
    <xf numFmtId="177" fontId="65" fillId="0" borderId="15" xfId="12" applyNumberFormat="1" applyFont="1" applyBorder="1" applyAlignment="1">
      <alignment horizontal="center" vertical="center"/>
    </xf>
    <xf numFmtId="177" fontId="41" fillId="0" borderId="14" xfId="12" applyNumberFormat="1" applyFont="1" applyBorder="1" applyAlignment="1">
      <alignment horizontal="center" vertical="center"/>
    </xf>
    <xf numFmtId="177" fontId="41" fillId="0" borderId="15" xfId="12" applyNumberFormat="1" applyFont="1" applyBorder="1" applyAlignment="1">
      <alignment horizontal="center" vertical="center"/>
    </xf>
    <xf numFmtId="177" fontId="41" fillId="0" borderId="46" xfId="0" applyNumberFormat="1" applyFont="1" applyBorder="1" applyAlignment="1">
      <alignment horizontal="center" vertical="center"/>
    </xf>
    <xf numFmtId="181" fontId="41" fillId="0" borderId="15" xfId="12" applyNumberFormat="1" applyFont="1" applyBorder="1" applyAlignment="1">
      <alignment horizontal="center" vertical="center"/>
    </xf>
    <xf numFmtId="181" fontId="65" fillId="0" borderId="15" xfId="12" applyNumberFormat="1" applyFont="1" applyBorder="1" applyAlignment="1">
      <alignment horizontal="center" vertical="center"/>
    </xf>
    <xf numFmtId="186" fontId="41" fillId="0" borderId="46" xfId="0" applyNumberFormat="1" applyFont="1" applyBorder="1" applyAlignment="1">
      <alignment horizontal="center" vertical="center"/>
    </xf>
    <xf numFmtId="177" fontId="64" fillId="0" borderId="11" xfId="12" applyNumberFormat="1" applyFont="1" applyBorder="1" applyAlignment="1">
      <alignment horizontal="center" vertical="center"/>
    </xf>
    <xf numFmtId="177" fontId="40" fillId="0" borderId="9" xfId="12" applyNumberFormat="1" applyFont="1" applyBorder="1" applyAlignment="1">
      <alignment horizontal="center" vertical="center"/>
    </xf>
    <xf numFmtId="181" fontId="40" fillId="0" borderId="59" xfId="0" applyNumberFormat="1" applyFont="1" applyBorder="1" applyAlignment="1">
      <alignment horizontal="center" vertical="center"/>
    </xf>
    <xf numFmtId="177" fontId="65" fillId="0" borderId="14" xfId="12" applyNumberFormat="1" applyFont="1" applyBorder="1" applyAlignment="1">
      <alignment horizontal="center" vertical="center"/>
    </xf>
    <xf numFmtId="177" fontId="41" fillId="0" borderId="26" xfId="12" applyNumberFormat="1" applyFont="1" applyBorder="1" applyAlignment="1">
      <alignment horizontal="center" vertical="center"/>
    </xf>
    <xf numFmtId="181" fontId="40" fillId="0" borderId="46" xfId="0" applyNumberFormat="1" applyFont="1" applyBorder="1" applyAlignment="1">
      <alignment horizontal="center" vertical="center"/>
    </xf>
    <xf numFmtId="177" fontId="64" fillId="0" borderId="14" xfId="12" applyNumberFormat="1" applyFont="1" applyBorder="1" applyAlignment="1">
      <alignment horizontal="center" vertical="center"/>
    </xf>
    <xf numFmtId="181" fontId="64" fillId="0" borderId="15" xfId="12" applyNumberFormat="1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177" fontId="9" fillId="0" borderId="61" xfId="12" applyNumberFormat="1" applyFont="1" applyBorder="1" applyAlignment="1">
      <alignment horizontal="center" vertical="center"/>
    </xf>
    <xf numFmtId="177" fontId="52" fillId="0" borderId="61" xfId="12" applyNumberFormat="1" applyFont="1" applyBorder="1" applyAlignment="1">
      <alignment horizontal="center" vertical="center"/>
    </xf>
    <xf numFmtId="177" fontId="9" fillId="0" borderId="62" xfId="0" applyNumberFormat="1" applyFont="1" applyBorder="1" applyAlignment="1">
      <alignment horizontal="center" vertical="center"/>
    </xf>
    <xf numFmtId="177" fontId="9" fillId="0" borderId="63" xfId="12" applyNumberFormat="1" applyFont="1" applyBorder="1" applyAlignment="1">
      <alignment horizontal="center" vertical="center"/>
    </xf>
    <xf numFmtId="181" fontId="52" fillId="0" borderId="64" xfId="12" applyNumberFormat="1" applyFont="1" applyBorder="1" applyAlignment="1">
      <alignment horizontal="center" vertical="center"/>
    </xf>
    <xf numFmtId="177" fontId="51" fillId="0" borderId="61" xfId="12" applyNumberFormat="1" applyFont="1" applyBorder="1" applyAlignment="1">
      <alignment horizontal="center" vertical="center"/>
    </xf>
    <xf numFmtId="181" fontId="51" fillId="0" borderId="64" xfId="12" applyNumberFormat="1" applyFont="1" applyBorder="1" applyAlignment="1">
      <alignment horizontal="center" vertical="center"/>
    </xf>
    <xf numFmtId="181" fontId="15" fillId="0" borderId="65" xfId="0" applyNumberFormat="1" applyFont="1" applyBorder="1" applyAlignment="1">
      <alignment horizontal="center" vertical="center"/>
    </xf>
    <xf numFmtId="177" fontId="51" fillId="0" borderId="63" xfId="12" applyNumberFormat="1" applyFont="1" applyBorder="1" applyAlignment="1">
      <alignment horizontal="center" vertical="center"/>
    </xf>
    <xf numFmtId="177" fontId="9" fillId="0" borderId="64" xfId="12" applyNumberFormat="1" applyFont="1" applyBorder="1" applyAlignment="1">
      <alignment horizontal="center" vertical="center"/>
    </xf>
    <xf numFmtId="177" fontId="51" fillId="0" borderId="64" xfId="12" applyNumberFormat="1" applyFont="1" applyBorder="1" applyAlignment="1">
      <alignment horizontal="center" vertical="center"/>
    </xf>
    <xf numFmtId="177" fontId="9" fillId="0" borderId="65" xfId="0" applyNumberFormat="1" applyFont="1" applyBorder="1" applyAlignment="1">
      <alignment horizontal="center" vertical="center"/>
    </xf>
    <xf numFmtId="0" fontId="41" fillId="0" borderId="31" xfId="0" applyNumberFormat="1" applyFont="1" applyFill="1" applyBorder="1" applyAlignment="1" applyProtection="1">
      <alignment horizontal="centerContinuous" vertical="center" wrapText="1"/>
    </xf>
    <xf numFmtId="49" fontId="41" fillId="0" borderId="0" xfId="0" applyNumberFormat="1" applyFont="1" applyAlignment="1" applyProtection="1">
      <alignment horizontal="center" vertical="center"/>
    </xf>
    <xf numFmtId="0" fontId="66" fillId="0" borderId="44" xfId="0" applyNumberFormat="1" applyFont="1" applyFill="1" applyBorder="1" applyAlignment="1" applyProtection="1">
      <alignment horizontal="center" vertical="center" wrapText="1"/>
    </xf>
    <xf numFmtId="0" fontId="41" fillId="0" borderId="34" xfId="0" applyNumberFormat="1" applyFont="1" applyFill="1" applyBorder="1" applyAlignment="1" applyProtection="1">
      <alignment horizontal="center" vertical="center" wrapText="1"/>
    </xf>
    <xf numFmtId="0" fontId="65" fillId="0" borderId="34" xfId="0" applyNumberFormat="1" applyFont="1" applyFill="1" applyBorder="1" applyAlignment="1" applyProtection="1">
      <alignment horizontal="center" vertical="center" wrapText="1"/>
    </xf>
    <xf numFmtId="0" fontId="41" fillId="0" borderId="44" xfId="0" applyNumberFormat="1" applyFont="1" applyFill="1" applyBorder="1" applyAlignment="1" applyProtection="1">
      <alignment horizontal="centerContinuous" vertical="center" wrapText="1"/>
    </xf>
    <xf numFmtId="49" fontId="42" fillId="0" borderId="0" xfId="0" applyNumberFormat="1" applyFont="1" applyAlignment="1" applyProtection="1">
      <alignment horizontal="center" vertical="center"/>
    </xf>
    <xf numFmtId="49" fontId="41" fillId="0" borderId="30" xfId="0" applyNumberFormat="1" applyFont="1" applyFill="1" applyBorder="1" applyAlignment="1">
      <alignment horizontal="center" vertical="center"/>
    </xf>
    <xf numFmtId="0" fontId="41" fillId="0" borderId="31" xfId="0" applyFont="1" applyFill="1" applyBorder="1" applyAlignment="1">
      <alignment horizontal="center" vertical="center"/>
    </xf>
    <xf numFmtId="1" fontId="41" fillId="0" borderId="31" xfId="0" applyNumberFormat="1" applyFont="1" applyFill="1" applyBorder="1" applyAlignment="1">
      <alignment horizontal="center" vertical="center"/>
    </xf>
    <xf numFmtId="176" fontId="41" fillId="0" borderId="31" xfId="6" applyNumberFormat="1" applyFont="1" applyFill="1" applyBorder="1" applyAlignment="1">
      <alignment horizontal="right" vertical="center"/>
    </xf>
    <xf numFmtId="176" fontId="66" fillId="0" borderId="31" xfId="0" applyNumberFormat="1" applyFont="1" applyFill="1" applyBorder="1" applyAlignment="1" applyProtection="1">
      <alignment horizontal="right" vertical="center"/>
      <protection locked="0"/>
    </xf>
    <xf numFmtId="1" fontId="41" fillId="0" borderId="31" xfId="0" applyNumberFormat="1" applyFont="1" applyFill="1" applyBorder="1" applyAlignment="1">
      <alignment horizontal="center" vertical="center" wrapText="1"/>
    </xf>
    <xf numFmtId="1" fontId="65" fillId="0" borderId="31" xfId="0" applyNumberFormat="1" applyFont="1" applyFill="1" applyBorder="1" applyAlignment="1">
      <alignment horizontal="center" vertical="center" wrapText="1"/>
    </xf>
    <xf numFmtId="0" fontId="41" fillId="0" borderId="31" xfId="0" applyFont="1" applyFill="1" applyBorder="1" applyAlignment="1" applyProtection="1">
      <alignment horizontal="center" vertical="center" wrapText="1"/>
      <protection locked="0"/>
    </xf>
    <xf numFmtId="0" fontId="41" fillId="0" borderId="47" xfId="0" applyFont="1" applyFill="1" applyBorder="1" applyAlignment="1" applyProtection="1">
      <alignment horizontal="center" vertical="center" wrapText="1"/>
      <protection locked="0"/>
    </xf>
    <xf numFmtId="177" fontId="41" fillId="0" borderId="0" xfId="0" applyNumberFormat="1" applyFont="1" applyBorder="1" applyAlignment="1" applyProtection="1">
      <alignment horizontal="center" vertical="center" wrapText="1"/>
      <protection locked="0"/>
    </xf>
    <xf numFmtId="177" fontId="44" fillId="0" borderId="0" xfId="0" applyNumberFormat="1" applyFont="1" applyBorder="1" applyAlignment="1" applyProtection="1">
      <alignment horizontal="center" vertical="center" wrapText="1"/>
      <protection locked="0"/>
    </xf>
    <xf numFmtId="49" fontId="41" fillId="0" borderId="0" xfId="0" applyNumberFormat="1" applyFont="1" applyAlignment="1" applyProtection="1">
      <protection locked="0"/>
    </xf>
    <xf numFmtId="49" fontId="41" fillId="0" borderId="0" xfId="0" applyNumberFormat="1" applyFont="1" applyAlignment="1" applyProtection="1">
      <alignment horizontal="center" vertical="center"/>
      <protection locked="0"/>
    </xf>
    <xf numFmtId="0" fontId="41" fillId="0" borderId="32" xfId="11" applyFont="1" applyFill="1" applyBorder="1" applyAlignment="1" applyProtection="1">
      <alignment horizontal="center" vertical="center" wrapText="1"/>
    </xf>
    <xf numFmtId="0" fontId="41" fillId="0" borderId="4" xfId="0" applyFont="1" applyFill="1" applyBorder="1" applyAlignment="1">
      <alignment horizontal="center" vertical="center"/>
    </xf>
    <xf numFmtId="1" fontId="41" fillId="0" borderId="4" xfId="0" applyNumberFormat="1" applyFont="1" applyFill="1" applyBorder="1" applyAlignment="1">
      <alignment horizontal="center" vertical="center"/>
    </xf>
    <xf numFmtId="176" fontId="41" fillId="0" borderId="4" xfId="0" applyNumberFormat="1" applyFont="1" applyFill="1" applyBorder="1" applyAlignment="1">
      <alignment horizontal="right" vertical="center"/>
    </xf>
    <xf numFmtId="176" fontId="41" fillId="0" borderId="4" xfId="6" applyNumberFormat="1" applyFont="1" applyFill="1" applyBorder="1" applyAlignment="1">
      <alignment horizontal="right" vertical="center"/>
    </xf>
    <xf numFmtId="176" fontId="66" fillId="0" borderId="4" xfId="0" applyNumberFormat="1" applyFont="1" applyFill="1" applyBorder="1" applyAlignment="1" applyProtection="1">
      <alignment horizontal="right" vertical="center"/>
      <protection locked="0"/>
    </xf>
    <xf numFmtId="1" fontId="65" fillId="0" borderId="4" xfId="0" applyNumberFormat="1" applyFont="1" applyFill="1" applyBorder="1" applyAlignment="1">
      <alignment horizontal="center" vertical="center"/>
    </xf>
    <xf numFmtId="176" fontId="65" fillId="0" borderId="4" xfId="6" applyNumberFormat="1" applyFont="1" applyFill="1" applyBorder="1" applyAlignment="1">
      <alignment horizontal="right" vertical="center"/>
    </xf>
    <xf numFmtId="1" fontId="41" fillId="0" borderId="4" xfId="0" applyNumberFormat="1" applyFont="1" applyFill="1" applyBorder="1" applyAlignment="1">
      <alignment horizontal="center" vertical="center" wrapText="1"/>
    </xf>
    <xf numFmtId="1" fontId="65" fillId="0" borderId="4" xfId="0" applyNumberFormat="1" applyFont="1" applyFill="1" applyBorder="1" applyAlignment="1">
      <alignment horizontal="center" vertical="center" wrapText="1"/>
    </xf>
    <xf numFmtId="0" fontId="41" fillId="0" borderId="4" xfId="0" applyFont="1" applyFill="1" applyBorder="1" applyAlignment="1" applyProtection="1">
      <alignment horizontal="center" vertical="center" wrapText="1"/>
      <protection locked="0"/>
    </xf>
    <xf numFmtId="0" fontId="41" fillId="0" borderId="5" xfId="0" applyFont="1" applyFill="1" applyBorder="1" applyAlignment="1" applyProtection="1">
      <alignment horizontal="center" vertical="center" wrapText="1"/>
      <protection locked="0"/>
    </xf>
    <xf numFmtId="0" fontId="41" fillId="0" borderId="0" xfId="0" applyNumberFormat="1" applyFont="1" applyBorder="1" applyAlignment="1" applyProtection="1">
      <alignment horizontal="center" vertical="center" wrapText="1"/>
      <protection locked="0"/>
    </xf>
    <xf numFmtId="0" fontId="44" fillId="0" borderId="0" xfId="0" applyNumberFormat="1" applyFont="1" applyBorder="1" applyAlignment="1" applyProtection="1">
      <alignment horizontal="center" vertical="center" wrapText="1"/>
      <protection locked="0"/>
    </xf>
    <xf numFmtId="1" fontId="41" fillId="0" borderId="45" xfId="0" applyNumberFormat="1" applyFont="1" applyFill="1" applyBorder="1" applyAlignment="1">
      <alignment horizontal="center" vertical="center" wrapText="1"/>
    </xf>
    <xf numFmtId="1" fontId="65" fillId="0" borderId="45" xfId="0" applyNumberFormat="1" applyFont="1" applyFill="1" applyBorder="1" applyAlignment="1">
      <alignment horizontal="center" vertical="center" wrapText="1"/>
    </xf>
    <xf numFmtId="49" fontId="41" fillId="0" borderId="32" xfId="0" applyNumberFormat="1" applyFont="1" applyFill="1" applyBorder="1" applyAlignment="1">
      <alignment horizontal="center" vertical="center"/>
    </xf>
    <xf numFmtId="0" fontId="41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1" fillId="0" borderId="52" xfId="0" applyFont="1" applyFill="1" applyBorder="1" applyAlignment="1" applyProtection="1">
      <alignment horizontal="center" vertical="center" wrapText="1"/>
      <protection locked="0"/>
    </xf>
    <xf numFmtId="177" fontId="41" fillId="0" borderId="0" xfId="0" applyNumberFormat="1" applyFont="1" applyBorder="1" applyAlignment="1" applyProtection="1">
      <alignment horizontal="center" vertical="center" wrapText="1"/>
    </xf>
    <xf numFmtId="177" fontId="44" fillId="0" borderId="0" xfId="0" applyNumberFormat="1" applyFont="1" applyBorder="1" applyAlignment="1" applyProtection="1">
      <alignment horizontal="center" vertical="center" wrapText="1"/>
    </xf>
    <xf numFmtId="0" fontId="41" fillId="0" borderId="33" xfId="11" applyFont="1" applyBorder="1" applyAlignment="1" applyProtection="1">
      <alignment horizontal="centerContinuous" vertical="center"/>
    </xf>
    <xf numFmtId="0" fontId="41" fillId="0" borderId="34" xfId="11" applyFont="1" applyBorder="1" applyAlignment="1" applyProtection="1">
      <alignment horizontal="centerContinuous" vertical="center"/>
    </xf>
    <xf numFmtId="41" fontId="41" fillId="0" borderId="34" xfId="6" applyNumberFormat="1" applyFont="1" applyBorder="1" applyAlignment="1">
      <alignment horizontal="center" vertical="center"/>
    </xf>
    <xf numFmtId="0" fontId="66" fillId="0" borderId="34" xfId="11" applyFont="1" applyBorder="1" applyAlignment="1" applyProtection="1">
      <alignment horizontal="centerContinuous" vertical="center"/>
    </xf>
    <xf numFmtId="0" fontId="65" fillId="0" borderId="34" xfId="11" applyFont="1" applyBorder="1" applyAlignment="1" applyProtection="1">
      <alignment horizontal="centerContinuous" vertical="center"/>
    </xf>
    <xf numFmtId="1" fontId="65" fillId="0" borderId="34" xfId="0" applyNumberFormat="1" applyFont="1" applyBorder="1" applyAlignment="1">
      <alignment horizontal="center" vertical="center"/>
    </xf>
    <xf numFmtId="176" fontId="65" fillId="0" borderId="34" xfId="11" applyNumberFormat="1" applyFont="1" applyBorder="1" applyAlignment="1" applyProtection="1">
      <alignment horizontal="center" vertical="center"/>
    </xf>
    <xf numFmtId="1" fontId="41" fillId="0" borderId="34" xfId="0" applyNumberFormat="1" applyFont="1" applyBorder="1" applyAlignment="1">
      <alignment horizontal="center" vertical="center" wrapText="1"/>
    </xf>
    <xf numFmtId="1" fontId="65" fillId="0" borderId="34" xfId="0" applyNumberFormat="1" applyFont="1" applyBorder="1" applyAlignment="1">
      <alignment horizontal="center" vertical="center" wrapText="1"/>
    </xf>
    <xf numFmtId="49" fontId="41" fillId="0" borderId="6" xfId="0" applyNumberFormat="1" applyFont="1" applyBorder="1" applyAlignment="1" applyProtection="1">
      <alignment horizontal="center" vertical="center"/>
    </xf>
    <xf numFmtId="0" fontId="41" fillId="0" borderId="0" xfId="11" applyFont="1" applyBorder="1" applyAlignment="1" applyProtection="1">
      <alignment horizontal="center" vertical="center"/>
    </xf>
    <xf numFmtId="177" fontId="41" fillId="0" borderId="0" xfId="11" applyNumberFormat="1" applyFont="1" applyBorder="1" applyAlignment="1" applyProtection="1">
      <alignment horizontal="center" vertical="center" wrapText="1"/>
    </xf>
    <xf numFmtId="0" fontId="41" fillId="0" borderId="30" xfId="11" applyFont="1" applyFill="1" applyBorder="1" applyAlignment="1" applyProtection="1">
      <alignment horizontal="center" vertical="center" wrapText="1"/>
    </xf>
    <xf numFmtId="0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5" xfId="0" applyNumberFormat="1" applyFont="1" applyFill="1" applyBorder="1" applyAlignment="1" applyProtection="1">
      <alignment horizontal="center" vertical="center"/>
      <protection locked="0"/>
    </xf>
    <xf numFmtId="41" fontId="41" fillId="0" borderId="4" xfId="6" applyNumberFormat="1" applyFont="1" applyFill="1" applyBorder="1" applyAlignment="1">
      <alignment horizontal="right" vertical="center"/>
    </xf>
    <xf numFmtId="176" fontId="41" fillId="0" borderId="4" xfId="0" applyNumberFormat="1" applyFont="1" applyFill="1" applyBorder="1" applyAlignment="1" applyProtection="1">
      <alignment horizontal="center" vertical="center"/>
      <protection locked="0"/>
    </xf>
    <xf numFmtId="176" fontId="41" fillId="0" borderId="4" xfId="0" applyNumberFormat="1" applyFont="1" applyFill="1" applyBorder="1" applyAlignment="1" applyProtection="1">
      <alignment horizontal="right" vertical="center"/>
      <protection locked="0"/>
    </xf>
    <xf numFmtId="176" fontId="65" fillId="0" borderId="4" xfId="0" applyNumberFormat="1" applyFont="1" applyFill="1" applyBorder="1" applyAlignment="1" applyProtection="1">
      <alignment horizontal="center" vertical="center"/>
      <protection locked="0"/>
    </xf>
    <xf numFmtId="49" fontId="41" fillId="0" borderId="4" xfId="0" applyNumberFormat="1" applyFont="1" applyFill="1" applyBorder="1" applyAlignment="1" applyProtection="1">
      <alignment horizontal="center" vertical="center" wrapText="1"/>
    </xf>
    <xf numFmtId="0" fontId="41" fillId="0" borderId="45" xfId="0" applyFont="1" applyFill="1" applyBorder="1" applyAlignment="1" applyProtection="1">
      <alignment horizontal="center" vertical="center" wrapText="1"/>
      <protection locked="0"/>
    </xf>
    <xf numFmtId="49" fontId="41" fillId="0" borderId="4" xfId="0" applyNumberFormat="1" applyFont="1" applyFill="1" applyBorder="1" applyAlignment="1">
      <alignment horizontal="center" vertical="center"/>
    </xf>
    <xf numFmtId="0" fontId="41" fillId="0" borderId="32" xfId="0" applyNumberFormat="1" applyFont="1" applyFill="1" applyBorder="1" applyAlignment="1" applyProtection="1">
      <alignment horizontal="center" vertical="center"/>
      <protection locked="0"/>
    </xf>
    <xf numFmtId="0" fontId="65" fillId="0" borderId="4" xfId="0" applyFont="1" applyFill="1" applyBorder="1" applyAlignment="1" applyProtection="1">
      <alignment horizontal="center" vertical="center" wrapText="1"/>
      <protection locked="0"/>
    </xf>
    <xf numFmtId="1" fontId="45" fillId="0" borderId="4" xfId="0" applyNumberFormat="1" applyFont="1" applyFill="1" applyBorder="1" applyAlignment="1">
      <alignment horizontal="center" vertical="center" wrapText="1"/>
    </xf>
    <xf numFmtId="1" fontId="67" fillId="0" borderId="4" xfId="0" applyNumberFormat="1" applyFont="1" applyFill="1" applyBorder="1" applyAlignment="1">
      <alignment horizontal="center" vertical="center" wrapText="1"/>
    </xf>
    <xf numFmtId="177" fontId="41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4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30" xfId="0" applyNumberFormat="1" applyFont="1" applyFill="1" applyBorder="1" applyAlignment="1" applyProtection="1">
      <alignment horizontal="center" vertical="center"/>
      <protection locked="0"/>
    </xf>
    <xf numFmtId="49" fontId="41" fillId="0" borderId="45" xfId="0" applyNumberFormat="1" applyFont="1" applyFill="1" applyBorder="1" applyAlignment="1" applyProtection="1">
      <alignment horizontal="center" vertical="center" wrapText="1"/>
    </xf>
    <xf numFmtId="176" fontId="65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6" fillId="0" borderId="34" xfId="0" applyNumberFormat="1" applyFont="1" applyBorder="1" applyAlignment="1">
      <alignment horizontal="center" vertical="center"/>
    </xf>
    <xf numFmtId="0" fontId="66" fillId="0" borderId="34" xfId="11" applyFont="1" applyBorder="1" applyAlignment="1" applyProtection="1">
      <alignment horizontal="center" vertical="center"/>
    </xf>
    <xf numFmtId="176" fontId="66" fillId="0" borderId="34" xfId="6" applyNumberFormat="1" applyFont="1" applyBorder="1" applyAlignment="1">
      <alignment horizontal="right" vertical="center"/>
    </xf>
    <xf numFmtId="176" fontId="66" fillId="0" borderId="45" xfId="0" applyNumberFormat="1" applyFont="1" applyFill="1" applyBorder="1" applyAlignment="1" applyProtection="1">
      <alignment horizontal="right" vertical="center"/>
      <protection locked="0"/>
    </xf>
    <xf numFmtId="176" fontId="4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4" xfId="11" applyNumberFormat="1" applyFont="1" applyFill="1" applyBorder="1" applyAlignment="1" applyProtection="1">
      <alignment horizontal="center" vertical="center" wrapText="1"/>
    </xf>
    <xf numFmtId="49" fontId="41" fillId="0" borderId="31" xfId="11" applyNumberFormat="1" applyFont="1" applyFill="1" applyBorder="1" applyAlignment="1" applyProtection="1">
      <alignment horizontal="center" vertical="center" wrapText="1"/>
    </xf>
    <xf numFmtId="178" fontId="41" fillId="0" borderId="4" xfId="0" applyNumberFormat="1" applyFont="1" applyFill="1" applyBorder="1" applyAlignment="1" applyProtection="1">
      <alignment horizontal="center" vertical="center"/>
      <protection locked="0"/>
    </xf>
    <xf numFmtId="178" fontId="41" fillId="0" borderId="4" xfId="0" applyNumberFormat="1" applyFont="1" applyFill="1" applyBorder="1" applyAlignment="1">
      <alignment horizontal="center" vertical="center"/>
    </xf>
    <xf numFmtId="0" fontId="41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1" fillId="0" borderId="4" xfId="0" applyNumberFormat="1" applyFont="1" applyFill="1" applyBorder="1" applyAlignment="1" applyProtection="1">
      <alignment horizontal="center" vertical="center"/>
      <protection locked="0"/>
    </xf>
    <xf numFmtId="49" fontId="66" fillId="0" borderId="4" xfId="0" applyNumberFormat="1" applyFont="1" applyFill="1" applyBorder="1" applyAlignment="1">
      <alignment horizontal="center" vertical="center"/>
    </xf>
    <xf numFmtId="1" fontId="66" fillId="0" borderId="45" xfId="0" applyNumberFormat="1" applyFont="1" applyFill="1" applyBorder="1" applyAlignment="1">
      <alignment horizontal="center" vertical="center"/>
    </xf>
    <xf numFmtId="1" fontId="66" fillId="0" borderId="4" xfId="0" applyNumberFormat="1" applyFont="1" applyFill="1" applyBorder="1" applyAlignment="1">
      <alignment horizontal="center" vertical="center"/>
    </xf>
    <xf numFmtId="176" fontId="66" fillId="0" borderId="4" xfId="6" applyNumberFormat="1" applyFont="1" applyFill="1" applyBorder="1" applyAlignment="1">
      <alignment horizontal="right" vertical="center"/>
    </xf>
    <xf numFmtId="49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4" xfId="0" applyNumberFormat="1" applyFont="1" applyFill="1" applyBorder="1" applyAlignment="1" applyProtection="1">
      <alignment horizontal="center" vertical="center" wrapText="1"/>
    </xf>
    <xf numFmtId="176" fontId="66" fillId="0" borderId="4" xfId="0" applyNumberFormat="1" applyFont="1" applyFill="1" applyBorder="1" applyAlignment="1" applyProtection="1">
      <alignment horizontal="center" vertical="center"/>
      <protection locked="0"/>
    </xf>
    <xf numFmtId="176" fontId="66" fillId="0" borderId="4" xfId="0" applyNumberFormat="1" applyFont="1" applyFill="1" applyBorder="1" applyAlignment="1">
      <alignment horizontal="right" vertical="center"/>
    </xf>
    <xf numFmtId="49" fontId="66" fillId="0" borderId="4" xfId="0" applyNumberFormat="1" applyFont="1" applyFill="1" applyBorder="1" applyAlignment="1" applyProtection="1">
      <alignment horizontal="center" vertical="center"/>
      <protection locked="0"/>
    </xf>
    <xf numFmtId="49" fontId="4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6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6" fillId="0" borderId="4" xfId="0" applyFont="1" applyFill="1" applyBorder="1" applyAlignment="1">
      <alignment horizontal="center" vertical="center"/>
    </xf>
    <xf numFmtId="178" fontId="41" fillId="0" borderId="31" xfId="0" applyNumberFormat="1" applyFont="1" applyFill="1" applyBorder="1" applyAlignment="1">
      <alignment horizontal="center" vertical="center"/>
    </xf>
    <xf numFmtId="176" fontId="41" fillId="0" borderId="31" xfId="11" applyNumberFormat="1" applyFont="1" applyFill="1" applyBorder="1" applyAlignment="1" applyProtection="1">
      <alignment horizontal="right" vertical="center"/>
    </xf>
    <xf numFmtId="176" fontId="66" fillId="0" borderId="31" xfId="0" applyNumberFormat="1" applyFont="1" applyFill="1" applyBorder="1" applyAlignment="1" applyProtection="1">
      <alignment horizontal="center" vertical="center"/>
      <protection locked="0"/>
    </xf>
    <xf numFmtId="49" fontId="66" fillId="0" borderId="31" xfId="0" applyNumberFormat="1" applyFont="1" applyFill="1" applyBorder="1" applyAlignment="1">
      <alignment horizontal="center" vertical="center"/>
    </xf>
    <xf numFmtId="176" fontId="66" fillId="0" borderId="31" xfId="0" applyNumberFormat="1" applyFont="1" applyFill="1" applyBorder="1" applyAlignment="1">
      <alignment horizontal="right" vertical="center"/>
    </xf>
    <xf numFmtId="176" fontId="4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31" xfId="0" applyFont="1" applyFill="1" applyBorder="1" applyAlignment="1" applyProtection="1">
      <alignment horizontal="center" vertical="center" wrapText="1"/>
      <protection locked="0"/>
    </xf>
    <xf numFmtId="176" fontId="6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4" xfId="0" applyNumberFormat="1" applyFont="1" applyFill="1" applyBorder="1" applyAlignment="1" applyProtection="1">
      <alignment horizontal="center" vertical="center"/>
      <protection locked="0"/>
    </xf>
    <xf numFmtId="0" fontId="65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66" fillId="0" borderId="45" xfId="0" applyNumberFormat="1" applyFont="1" applyFill="1" applyBorder="1" applyAlignment="1" applyProtection="1">
      <alignment horizontal="center" vertical="center"/>
      <protection locked="0"/>
    </xf>
    <xf numFmtId="0" fontId="41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65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65" fillId="0" borderId="54" xfId="0" applyNumberFormat="1" applyFont="1" applyFill="1" applyBorder="1" applyAlignment="1" applyProtection="1">
      <alignment horizontal="center" vertical="center" wrapText="1"/>
      <protection locked="0"/>
    </xf>
    <xf numFmtId="41" fontId="41" fillId="0" borderId="4" xfId="6" applyNumberFormat="1" applyFont="1" applyBorder="1" applyAlignment="1">
      <alignment horizontal="center" vertical="center"/>
    </xf>
    <xf numFmtId="41" fontId="41" fillId="0" borderId="4" xfId="6" applyNumberFormat="1" applyFont="1" applyBorder="1" applyAlignment="1">
      <alignment horizontal="right" vertical="center"/>
    </xf>
    <xf numFmtId="49" fontId="41" fillId="0" borderId="32" xfId="0" applyNumberFormat="1" applyFont="1" applyFill="1" applyBorder="1" applyAlignment="1" applyProtection="1">
      <alignment horizontal="center" vertical="center"/>
      <protection locked="0"/>
    </xf>
    <xf numFmtId="0" fontId="66" fillId="0" borderId="4" xfId="11" applyFont="1" applyFill="1" applyBorder="1" applyAlignment="1" applyProtection="1">
      <alignment horizontal="centerContinuous" vertical="center"/>
    </xf>
    <xf numFmtId="176" fontId="66" fillId="0" borderId="4" xfId="11" applyNumberFormat="1" applyFont="1" applyFill="1" applyBorder="1" applyAlignment="1" applyProtection="1">
      <alignment horizontal="right" vertical="center"/>
    </xf>
    <xf numFmtId="41" fontId="41" fillId="0" borderId="4" xfId="6" applyNumberFormat="1" applyFont="1" applyFill="1" applyBorder="1" applyAlignment="1">
      <alignment horizontal="center" vertical="center"/>
    </xf>
    <xf numFmtId="17" fontId="41" fillId="0" borderId="4" xfId="0" applyNumberFormat="1" applyFont="1" applyBorder="1" applyAlignment="1">
      <alignment horizontal="center" vertical="center"/>
    </xf>
    <xf numFmtId="49" fontId="46" fillId="0" borderId="4" xfId="0" applyNumberFormat="1" applyFont="1" applyFill="1" applyBorder="1" applyAlignment="1" applyProtection="1">
      <alignment horizontal="center" vertical="center" wrapText="1"/>
    </xf>
    <xf numFmtId="49" fontId="48" fillId="0" borderId="4" xfId="0" applyNumberFormat="1" applyFont="1" applyFill="1" applyBorder="1" applyAlignment="1" applyProtection="1">
      <alignment horizontal="center" vertical="center" wrapText="1"/>
    </xf>
    <xf numFmtId="0" fontId="41" fillId="0" borderId="30" xfId="11" applyFont="1" applyBorder="1" applyAlignment="1" applyProtection="1">
      <alignment horizontal="center" vertical="center" wrapText="1"/>
    </xf>
    <xf numFmtId="0" fontId="41" fillId="0" borderId="31" xfId="11" applyFont="1" applyBorder="1" applyAlignment="1" applyProtection="1">
      <alignment horizontal="center" vertical="center" wrapText="1"/>
    </xf>
    <xf numFmtId="0" fontId="41" fillId="0" borderId="31" xfId="0" applyFont="1" applyBorder="1" applyAlignment="1">
      <alignment horizontal="center" vertical="center"/>
    </xf>
    <xf numFmtId="41" fontId="41" fillId="0" borderId="31" xfId="6" applyNumberFormat="1" applyFont="1" applyBorder="1" applyAlignment="1">
      <alignment horizontal="center" vertical="center"/>
    </xf>
    <xf numFmtId="41" fontId="41" fillId="0" borderId="31" xfId="6" applyNumberFormat="1" applyFont="1" applyBorder="1" applyAlignment="1">
      <alignment horizontal="right" vertical="center"/>
    </xf>
    <xf numFmtId="1" fontId="41" fillId="0" borderId="31" xfId="0" applyNumberFormat="1" applyFont="1" applyBorder="1" applyAlignment="1">
      <alignment horizontal="center" vertical="center" wrapText="1"/>
    </xf>
    <xf numFmtId="49" fontId="41" fillId="0" borderId="47" xfId="0" applyNumberFormat="1" applyFont="1" applyBorder="1" applyAlignment="1" applyProtection="1">
      <alignment horizontal="center" vertical="center"/>
    </xf>
    <xf numFmtId="0" fontId="41" fillId="0" borderId="32" xfId="11" applyFont="1" applyBorder="1" applyAlignment="1" applyProtection="1">
      <alignment horizontal="center" vertical="center" wrapText="1"/>
    </xf>
    <xf numFmtId="41" fontId="66" fillId="0" borderId="4" xfId="6" applyNumberFormat="1" applyFont="1" applyFill="1" applyBorder="1" applyAlignment="1">
      <alignment horizontal="right" vertical="center"/>
    </xf>
    <xf numFmtId="1" fontId="41" fillId="0" borderId="4" xfId="0" applyNumberFormat="1" applyFont="1" applyBorder="1" applyAlignment="1">
      <alignment horizontal="center" vertical="center" wrapText="1"/>
    </xf>
    <xf numFmtId="49" fontId="41" fillId="0" borderId="5" xfId="0" applyNumberFormat="1" applyFont="1" applyBorder="1" applyAlignment="1" applyProtection="1">
      <alignment horizontal="center" vertical="center"/>
    </xf>
    <xf numFmtId="1" fontId="66" fillId="0" borderId="4" xfId="0" quotePrefix="1" applyNumberFormat="1" applyFont="1" applyFill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 wrapText="1"/>
    </xf>
    <xf numFmtId="1" fontId="48" fillId="0" borderId="4" xfId="0" applyNumberFormat="1" applyFont="1" applyBorder="1" applyAlignment="1">
      <alignment horizontal="center" vertical="center" wrapText="1"/>
    </xf>
    <xf numFmtId="0" fontId="66" fillId="0" borderId="4" xfId="11" applyFont="1" applyBorder="1" applyAlignment="1" applyProtection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  <xf numFmtId="0" fontId="65" fillId="0" borderId="45" xfId="0" applyFont="1" applyBorder="1" applyAlignment="1">
      <alignment horizontal="center" vertical="center" wrapText="1"/>
    </xf>
    <xf numFmtId="1" fontId="41" fillId="0" borderId="45" xfId="0" applyNumberFormat="1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/>
    </xf>
    <xf numFmtId="0" fontId="41" fillId="0" borderId="4" xfId="0" applyNumberFormat="1" applyFont="1" applyBorder="1" applyAlignment="1">
      <alignment horizontal="center" vertical="center"/>
    </xf>
    <xf numFmtId="0" fontId="66" fillId="0" borderId="4" xfId="11" applyFont="1" applyFill="1" applyBorder="1" applyAlignment="1" applyProtection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65" fillId="0" borderId="4" xfId="0" applyFont="1" applyFill="1" applyBorder="1" applyAlignment="1">
      <alignment horizontal="center" vertical="center" wrapText="1"/>
    </xf>
    <xf numFmtId="1" fontId="49" fillId="0" borderId="4" xfId="0" applyNumberFormat="1" applyFont="1" applyBorder="1" applyAlignment="1">
      <alignment horizontal="center" vertical="center" wrapText="1"/>
    </xf>
    <xf numFmtId="0" fontId="66" fillId="0" borderId="31" xfId="11" applyFont="1" applyBorder="1" applyAlignment="1" applyProtection="1">
      <alignment horizontal="center" vertical="center" wrapText="1"/>
    </xf>
    <xf numFmtId="179" fontId="41" fillId="0" borderId="4" xfId="0" applyNumberFormat="1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/>
    </xf>
    <xf numFmtId="0" fontId="66" fillId="0" borderId="45" xfId="0" applyFont="1" applyBorder="1" applyAlignment="1">
      <alignment horizontal="center" vertical="center"/>
    </xf>
    <xf numFmtId="41" fontId="66" fillId="0" borderId="45" xfId="6" applyNumberFormat="1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" vertical="center"/>
    </xf>
    <xf numFmtId="0" fontId="66" fillId="4" borderId="4" xfId="11" applyFont="1" applyFill="1" applyBorder="1" applyAlignment="1" applyProtection="1">
      <alignment horizontal="center" vertical="center" wrapText="1"/>
    </xf>
    <xf numFmtId="41" fontId="66" fillId="0" borderId="4" xfId="6" applyNumberFormat="1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17" fontId="66" fillId="0" borderId="4" xfId="0" applyNumberFormat="1" applyFont="1" applyBorder="1" applyAlignment="1">
      <alignment horizontal="center" vertical="center"/>
    </xf>
    <xf numFmtId="41" fontId="66" fillId="0" borderId="4" xfId="6" applyNumberFormat="1" applyFont="1" applyBorder="1" applyAlignment="1">
      <alignment horizontal="center" vertical="center"/>
    </xf>
    <xf numFmtId="49" fontId="41" fillId="0" borderId="4" xfId="11" applyNumberFormat="1" applyFont="1" applyBorder="1" applyAlignment="1" applyProtection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/>
    </xf>
    <xf numFmtId="41" fontId="66" fillId="0" borderId="31" xfId="6" applyNumberFormat="1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/>
    </xf>
    <xf numFmtId="0" fontId="41" fillId="0" borderId="31" xfId="0" applyFont="1" applyBorder="1" applyAlignment="1" applyProtection="1">
      <alignment horizontal="center" vertical="center" wrapText="1"/>
      <protection locked="0"/>
    </xf>
    <xf numFmtId="0" fontId="41" fillId="0" borderId="47" xfId="0" applyFont="1" applyBorder="1" applyAlignment="1" applyProtection="1">
      <alignment horizontal="center" vertical="center" wrapText="1"/>
      <protection locked="0"/>
    </xf>
    <xf numFmtId="0" fontId="66" fillId="0" borderId="4" xfId="0" quotePrefix="1" applyFont="1" applyBorder="1" applyAlignment="1">
      <alignment horizontal="center" vertical="center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17" fontId="41" fillId="0" borderId="4" xfId="0" quotePrefix="1" applyNumberFormat="1" applyFont="1" applyBorder="1" applyAlignment="1">
      <alignment horizontal="center" vertical="center"/>
    </xf>
    <xf numFmtId="179" fontId="66" fillId="0" borderId="4" xfId="0" applyNumberFormat="1" applyFont="1" applyBorder="1" applyAlignment="1">
      <alignment horizontal="center" vertical="center"/>
    </xf>
    <xf numFmtId="187" fontId="41" fillId="0" borderId="4" xfId="0" applyNumberFormat="1" applyFont="1" applyBorder="1" applyAlignment="1">
      <alignment horizontal="center" vertical="center" wrapText="1"/>
    </xf>
    <xf numFmtId="176" fontId="66" fillId="0" borderId="4" xfId="0" applyNumberFormat="1" applyFont="1" applyBorder="1" applyAlignment="1" applyProtection="1">
      <alignment horizontal="right" vertical="center"/>
      <protection locked="0"/>
    </xf>
    <xf numFmtId="0" fontId="41" fillId="0" borderId="4" xfId="9" applyNumberFormat="1" applyFont="1" applyFill="1" applyBorder="1" applyAlignment="1">
      <alignment horizontal="center" vertical="center"/>
    </xf>
    <xf numFmtId="176" fontId="41" fillId="0" borderId="4" xfId="9" applyNumberFormat="1" applyFont="1" applyFill="1" applyBorder="1" applyAlignment="1">
      <alignment horizontal="right" vertical="center"/>
    </xf>
    <xf numFmtId="0" fontId="41" fillId="0" borderId="4" xfId="10" applyNumberFormat="1" applyFont="1" applyFill="1" applyBorder="1" applyAlignment="1">
      <alignment horizontal="center" vertical="center"/>
    </xf>
    <xf numFmtId="176" fontId="41" fillId="0" borderId="4" xfId="10" applyNumberFormat="1" applyFont="1" applyFill="1" applyBorder="1" applyAlignment="1">
      <alignment horizontal="right" vertical="center"/>
    </xf>
    <xf numFmtId="0" fontId="41" fillId="0" borderId="34" xfId="11" applyFont="1" applyBorder="1" applyAlignment="1" applyProtection="1">
      <alignment horizontal="center" vertical="center"/>
    </xf>
    <xf numFmtId="0" fontId="66" fillId="0" borderId="34" xfId="11" applyFont="1" applyBorder="1" applyAlignment="1" applyProtection="1">
      <alignment horizontal="right" vertical="center"/>
    </xf>
    <xf numFmtId="0" fontId="41" fillId="0" borderId="31" xfId="9" applyNumberFormat="1" applyFont="1" applyFill="1" applyBorder="1" applyAlignment="1">
      <alignment horizontal="center" vertical="center"/>
    </xf>
    <xf numFmtId="176" fontId="41" fillId="0" borderId="31" xfId="9" applyNumberFormat="1" applyFont="1" applyFill="1" applyBorder="1" applyAlignment="1">
      <alignment horizontal="right" vertical="center"/>
    </xf>
    <xf numFmtId="176" fontId="66" fillId="0" borderId="31" xfId="0" applyNumberFormat="1" applyFont="1" applyBorder="1" applyAlignment="1" applyProtection="1">
      <alignment horizontal="right" vertical="center"/>
      <protection locked="0"/>
    </xf>
    <xf numFmtId="0" fontId="41" fillId="0" borderId="47" xfId="0" applyFont="1" applyBorder="1" applyAlignment="1">
      <alignment horizontal="center" vertical="center"/>
    </xf>
    <xf numFmtId="176" fontId="41" fillId="0" borderId="4" xfId="9" quotePrefix="1" applyNumberFormat="1" applyFont="1" applyFill="1" applyBorder="1" applyAlignment="1">
      <alignment horizontal="right" vertical="center"/>
    </xf>
    <xf numFmtId="176" fontId="66" fillId="0" borderId="4" xfId="0" applyNumberFormat="1" applyFont="1" applyBorder="1" applyAlignment="1">
      <alignment horizontal="right" vertical="center"/>
    </xf>
    <xf numFmtId="176" fontId="66" fillId="0" borderId="4" xfId="0" quotePrefix="1" applyNumberFormat="1" applyFont="1" applyBorder="1" applyAlignment="1">
      <alignment horizontal="right" vertical="center"/>
    </xf>
    <xf numFmtId="176" fontId="66" fillId="0" borderId="45" xfId="0" applyNumberFormat="1" applyFont="1" applyBorder="1" applyAlignment="1">
      <alignment horizontal="right" vertical="center"/>
    </xf>
    <xf numFmtId="176" fontId="66" fillId="0" borderId="45" xfId="0" applyNumberFormat="1" applyFont="1" applyBorder="1" applyAlignment="1" applyProtection="1">
      <alignment horizontal="right" vertical="center"/>
      <protection locked="0"/>
    </xf>
    <xf numFmtId="0" fontId="41" fillId="0" borderId="45" xfId="9" applyNumberFormat="1" applyFont="1" applyFill="1" applyBorder="1" applyAlignment="1">
      <alignment horizontal="center" vertical="center" wrapText="1"/>
    </xf>
    <xf numFmtId="0" fontId="47" fillId="0" borderId="45" xfId="9" applyNumberFormat="1" applyFont="1" applyFill="1" applyBorder="1" applyAlignment="1">
      <alignment horizontal="center" vertical="center" wrapText="1"/>
    </xf>
    <xf numFmtId="0" fontId="65" fillId="0" borderId="45" xfId="9" applyNumberFormat="1" applyFont="1" applyFill="1" applyBorder="1" applyAlignment="1">
      <alignment horizontal="center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65" fillId="0" borderId="4" xfId="9" applyNumberFormat="1" applyFont="1" applyFill="1" applyBorder="1" applyAlignment="1">
      <alignment horizontal="center" vertical="center" wrapText="1"/>
    </xf>
    <xf numFmtId="0" fontId="70" fillId="0" borderId="4" xfId="9" applyNumberFormat="1" applyFont="1" applyFill="1" applyBorder="1" applyAlignment="1">
      <alignment horizontal="center" vertical="center" wrapText="1"/>
    </xf>
    <xf numFmtId="0" fontId="46" fillId="0" borderId="4" xfId="9" applyNumberFormat="1" applyFont="1" applyFill="1" applyBorder="1" applyAlignment="1">
      <alignment horizontal="center" vertical="center" wrapText="1"/>
    </xf>
    <xf numFmtId="0" fontId="41" fillId="0" borderId="4" xfId="11" applyFont="1" applyBorder="1" applyAlignment="1" applyProtection="1">
      <alignment horizontal="center" vertical="center" wrapText="1"/>
    </xf>
    <xf numFmtId="176" fontId="66" fillId="0" borderId="31" xfId="0" applyNumberFormat="1" applyFont="1" applyBorder="1" applyAlignment="1">
      <alignment horizontal="right" vertical="center"/>
    </xf>
    <xf numFmtId="0" fontId="41" fillId="0" borderId="31" xfId="9" applyNumberFormat="1" applyFont="1" applyFill="1" applyBorder="1" applyAlignment="1">
      <alignment horizontal="center" vertical="center" wrapText="1"/>
    </xf>
    <xf numFmtId="0" fontId="65" fillId="0" borderId="31" xfId="9" applyNumberFormat="1" applyFont="1" applyFill="1" applyBorder="1" applyAlignment="1">
      <alignment horizontal="center" vertical="center" wrapText="1"/>
    </xf>
    <xf numFmtId="176" fontId="41" fillId="0" borderId="4" xfId="9" applyNumberFormat="1" applyFont="1" applyFill="1" applyBorder="1" applyAlignment="1">
      <alignment horizontal="right" vertical="center" wrapText="1"/>
    </xf>
    <xf numFmtId="176" fontId="41" fillId="0" borderId="4" xfId="10" applyNumberFormat="1" applyFont="1" applyFill="1" applyBorder="1" applyAlignment="1">
      <alignment horizontal="right" vertical="center" wrapText="1"/>
    </xf>
    <xf numFmtId="0" fontId="41" fillId="0" borderId="4" xfId="0" applyFont="1" applyBorder="1" applyAlignment="1">
      <alignment horizontal="center" vertical="center" shrinkToFit="1"/>
    </xf>
    <xf numFmtId="0" fontId="65" fillId="0" borderId="4" xfId="0" applyFont="1" applyBorder="1" applyAlignment="1">
      <alignment horizontal="center" vertical="center" shrinkToFit="1"/>
    </xf>
    <xf numFmtId="1" fontId="66" fillId="0" borderId="4" xfId="0" applyNumberFormat="1" applyFont="1" applyBorder="1" applyAlignment="1">
      <alignment horizontal="center" vertical="center"/>
    </xf>
    <xf numFmtId="41" fontId="66" fillId="0" borderId="4" xfId="6" applyNumberFormat="1" applyFont="1" applyBorder="1" applyAlignment="1">
      <alignment horizontal="right" vertical="center"/>
    </xf>
    <xf numFmtId="1" fontId="65" fillId="0" borderId="4" xfId="0" applyNumberFormat="1" applyFont="1" applyBorder="1" applyAlignment="1">
      <alignment horizontal="center" vertical="center" wrapText="1"/>
    </xf>
    <xf numFmtId="176" fontId="41" fillId="0" borderId="4" xfId="9" quotePrefix="1" applyNumberFormat="1" applyFont="1" applyFill="1" applyBorder="1" applyAlignment="1">
      <alignment horizontal="right" vertical="center" wrapText="1"/>
    </xf>
    <xf numFmtId="49" fontId="41" fillId="0" borderId="4" xfId="0" applyNumberFormat="1" applyFont="1" applyBorder="1" applyAlignment="1">
      <alignment horizontal="center" vertical="center"/>
    </xf>
    <xf numFmtId="176" fontId="41" fillId="0" borderId="4" xfId="0" applyNumberFormat="1" applyFont="1" applyBorder="1" applyAlignment="1">
      <alignment horizontal="right" vertical="center"/>
    </xf>
    <xf numFmtId="0" fontId="41" fillId="0" borderId="44" xfId="9" applyNumberFormat="1" applyFont="1" applyFill="1" applyBorder="1" applyAlignment="1">
      <alignment horizontal="center" vertical="center"/>
    </xf>
    <xf numFmtId="176" fontId="41" fillId="0" borderId="44" xfId="9" applyNumberFormat="1" applyFont="1" applyFill="1" applyBorder="1" applyAlignment="1">
      <alignment horizontal="right" vertical="center" wrapText="1"/>
    </xf>
    <xf numFmtId="0" fontId="47" fillId="0" borderId="4" xfId="9" applyNumberFormat="1" applyFont="1" applyFill="1" applyBorder="1" applyAlignment="1">
      <alignment horizontal="center" vertical="center" wrapText="1"/>
    </xf>
    <xf numFmtId="176" fontId="41" fillId="0" borderId="4" xfId="0" quotePrefix="1" applyNumberFormat="1" applyFont="1" applyBorder="1" applyAlignment="1">
      <alignment horizontal="right" vertical="center"/>
    </xf>
    <xf numFmtId="41" fontId="66" fillId="0" borderId="34" xfId="6" applyNumberFormat="1" applyFont="1" applyBorder="1" applyAlignment="1">
      <alignment horizontal="right" vertical="center"/>
    </xf>
    <xf numFmtId="49" fontId="41" fillId="0" borderId="4" xfId="0" applyNumberFormat="1" applyFont="1" applyBorder="1" applyAlignment="1" applyProtection="1">
      <alignment horizontal="center" vertical="center"/>
      <protection locked="0"/>
    </xf>
    <xf numFmtId="176" fontId="41" fillId="0" borderId="4" xfId="0" applyNumberFormat="1" applyFont="1" applyBorder="1" applyAlignment="1" applyProtection="1">
      <alignment horizontal="right" vertical="center"/>
      <protection locked="0"/>
    </xf>
    <xf numFmtId="0" fontId="65" fillId="0" borderId="4" xfId="0" applyFont="1" applyBorder="1" applyAlignment="1">
      <alignment horizontal="center" vertical="center" wrapText="1" shrinkToFit="1"/>
    </xf>
    <xf numFmtId="176" fontId="66" fillId="0" borderId="44" xfId="0" applyNumberFormat="1" applyFont="1" applyBorder="1" applyAlignment="1">
      <alignment horizontal="right" vertical="center"/>
    </xf>
    <xf numFmtId="0" fontId="66" fillId="0" borderId="44" xfId="0" applyFont="1" applyBorder="1" applyAlignment="1">
      <alignment horizontal="center" vertical="center"/>
    </xf>
    <xf numFmtId="176" fontId="66" fillId="0" borderId="44" xfId="0" applyNumberFormat="1" applyFont="1" applyBorder="1" applyAlignment="1" applyProtection="1">
      <alignment horizontal="right" vertical="center"/>
      <protection locked="0"/>
    </xf>
    <xf numFmtId="0" fontId="41" fillId="0" borderId="44" xfId="9" applyNumberFormat="1" applyFont="1" applyFill="1" applyBorder="1" applyAlignment="1">
      <alignment horizontal="center" vertical="center" wrapText="1"/>
    </xf>
    <xf numFmtId="0" fontId="65" fillId="0" borderId="44" xfId="9" applyNumberFormat="1" applyFont="1" applyFill="1" applyBorder="1" applyAlignment="1">
      <alignment horizontal="center" vertical="center" wrapText="1"/>
    </xf>
    <xf numFmtId="49" fontId="41" fillId="0" borderId="4" xfId="0" applyNumberFormat="1" applyFont="1" applyBorder="1" applyAlignment="1" applyProtection="1">
      <alignment horizontal="center" vertical="center" wrapText="1"/>
      <protection locked="0"/>
    </xf>
    <xf numFmtId="0" fontId="41" fillId="0" borderId="4" xfId="0" applyFont="1" applyBorder="1" applyAlignment="1">
      <alignment horizontal="center" vertical="center" wrapText="1" shrinkToFit="1"/>
    </xf>
    <xf numFmtId="49" fontId="41" fillId="0" borderId="5" xfId="0" applyNumberFormat="1" applyFont="1" applyBorder="1" applyAlignment="1" applyProtection="1">
      <alignment horizontal="center" vertical="center"/>
      <protection locked="0"/>
    </xf>
    <xf numFmtId="49" fontId="41" fillId="0" borderId="31" xfId="0" applyNumberFormat="1" applyFont="1" applyBorder="1" applyAlignment="1" applyProtection="1">
      <alignment horizontal="center" vertical="center"/>
      <protection locked="0"/>
    </xf>
    <xf numFmtId="176" fontId="41" fillId="0" borderId="31" xfId="0" applyNumberFormat="1" applyFont="1" applyBorder="1" applyAlignment="1" applyProtection="1">
      <alignment horizontal="right" vertical="center"/>
      <protection locked="0"/>
    </xf>
    <xf numFmtId="49" fontId="41" fillId="0" borderId="31" xfId="0" applyNumberFormat="1" applyFont="1" applyBorder="1" applyAlignment="1" applyProtection="1">
      <alignment horizontal="center" vertical="center" wrapText="1"/>
      <protection locked="0"/>
    </xf>
    <xf numFmtId="49" fontId="41" fillId="0" borderId="47" xfId="0" applyNumberFormat="1" applyFont="1" applyBorder="1" applyAlignment="1" applyProtection="1">
      <alignment horizontal="center" vertical="center"/>
      <protection locked="0"/>
    </xf>
    <xf numFmtId="49" fontId="66" fillId="0" borderId="4" xfId="0" applyNumberFormat="1" applyFont="1" applyBorder="1" applyAlignment="1" applyProtection="1">
      <alignment horizontal="center" vertical="center"/>
      <protection locked="0"/>
    </xf>
    <xf numFmtId="49" fontId="41" fillId="0" borderId="4" xfId="0" applyNumberFormat="1" applyFont="1" applyBorder="1" applyAlignment="1" applyProtection="1">
      <alignment horizontal="center" vertical="center" shrinkToFit="1"/>
      <protection locked="0"/>
    </xf>
    <xf numFmtId="49" fontId="68" fillId="0" borderId="4" xfId="0" applyNumberFormat="1" applyFont="1" applyBorder="1" applyAlignment="1" applyProtection="1">
      <alignment horizontal="center" vertical="center" wrapText="1"/>
      <protection locked="0"/>
    </xf>
    <xf numFmtId="49" fontId="69" fillId="0" borderId="4" xfId="0" applyNumberFormat="1" applyFont="1" applyBorder="1" applyAlignment="1" applyProtection="1">
      <alignment horizontal="center" vertical="center" wrapText="1"/>
      <protection locked="0"/>
    </xf>
    <xf numFmtId="49" fontId="65" fillId="0" borderId="4" xfId="0" applyNumberFormat="1" applyFont="1" applyBorder="1" applyAlignment="1" applyProtection="1">
      <alignment horizontal="center" vertical="center" shrinkToFit="1"/>
      <protection locked="0"/>
    </xf>
    <xf numFmtId="49" fontId="65" fillId="0" borderId="4" xfId="0" applyNumberFormat="1" applyFont="1" applyBorder="1" applyAlignment="1" applyProtection="1">
      <alignment horizontal="center" vertical="center" wrapText="1"/>
      <protection locked="0"/>
    </xf>
    <xf numFmtId="176" fontId="66" fillId="0" borderId="34" xfId="0" applyNumberFormat="1" applyFont="1" applyBorder="1" applyAlignment="1" applyProtection="1">
      <alignment horizontal="right" vertical="center"/>
      <protection locked="0"/>
    </xf>
    <xf numFmtId="49" fontId="66" fillId="0" borderId="34" xfId="0" applyNumberFormat="1" applyFont="1" applyBorder="1" applyAlignment="1" applyProtection="1">
      <alignment horizontal="center" vertical="center"/>
      <protection locked="0"/>
    </xf>
    <xf numFmtId="49" fontId="41" fillId="0" borderId="34" xfId="0" applyNumberFormat="1" applyFont="1" applyBorder="1" applyAlignment="1" applyProtection="1">
      <alignment horizontal="center" vertical="center" shrinkToFit="1"/>
      <protection locked="0"/>
    </xf>
    <xf numFmtId="49" fontId="41" fillId="0" borderId="34" xfId="0" applyNumberFormat="1" applyFont="1" applyBorder="1" applyAlignment="1" applyProtection="1">
      <alignment horizontal="center" vertical="center" wrapText="1"/>
      <protection locked="0"/>
    </xf>
    <xf numFmtId="49" fontId="65" fillId="0" borderId="34" xfId="0" applyNumberFormat="1" applyFont="1" applyBorder="1" applyAlignment="1" applyProtection="1">
      <alignment horizontal="center" vertical="center" shrinkToFit="1"/>
      <protection locked="0"/>
    </xf>
    <xf numFmtId="49" fontId="65" fillId="0" borderId="34" xfId="0" applyNumberFormat="1" applyFont="1" applyBorder="1" applyAlignment="1" applyProtection="1">
      <alignment horizontal="center" vertical="center" wrapText="1"/>
      <protection locked="0"/>
    </xf>
    <xf numFmtId="49" fontId="41" fillId="0" borderId="6" xfId="0" applyNumberFormat="1" applyFont="1" applyBorder="1" applyAlignment="1" applyProtection="1">
      <alignment horizontal="center" vertical="center"/>
      <protection locked="0"/>
    </xf>
    <xf numFmtId="49" fontId="66" fillId="0" borderId="31" xfId="0" applyNumberFormat="1" applyFont="1" applyBorder="1" applyAlignment="1" applyProtection="1">
      <alignment horizontal="center" vertical="center"/>
      <protection locked="0"/>
    </xf>
    <xf numFmtId="49" fontId="41" fillId="0" borderId="31" xfId="0" applyNumberFormat="1" applyFont="1" applyBorder="1" applyAlignment="1" applyProtection="1">
      <alignment horizontal="center" vertical="center" shrinkToFit="1"/>
      <protection locked="0"/>
    </xf>
    <xf numFmtId="49" fontId="65" fillId="0" borderId="31" xfId="0" applyNumberFormat="1" applyFont="1" applyBorder="1" applyAlignment="1" applyProtection="1">
      <alignment horizontal="center" vertical="center" shrinkToFit="1"/>
      <protection locked="0"/>
    </xf>
    <xf numFmtId="49" fontId="65" fillId="0" borderId="31" xfId="0" applyNumberFormat="1" applyFont="1" applyBorder="1" applyAlignment="1" applyProtection="1">
      <alignment horizontal="center" vertical="center" wrapText="1"/>
      <protection locked="0"/>
    </xf>
    <xf numFmtId="49" fontId="46" fillId="0" borderId="4" xfId="0" applyNumberFormat="1" applyFont="1" applyBorder="1" applyAlignment="1" applyProtection="1">
      <alignment horizontal="center" vertical="center" wrapText="1"/>
      <protection locked="0"/>
    </xf>
    <xf numFmtId="49" fontId="70" fillId="0" borderId="4" xfId="0" applyNumberFormat="1" applyFont="1" applyBorder="1" applyAlignment="1" applyProtection="1">
      <alignment horizontal="center" vertical="center" wrapText="1"/>
      <protection locked="0"/>
    </xf>
    <xf numFmtId="49" fontId="41" fillId="0" borderId="5" xfId="0" applyNumberFormat="1" applyFont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Alignment="1" applyProtection="1">
      <alignment horizontal="center" vertical="center"/>
    </xf>
    <xf numFmtId="176" fontId="41" fillId="0" borderId="0" xfId="0" applyNumberFormat="1" applyFont="1" applyAlignment="1" applyProtection="1">
      <alignment horizontal="right" vertical="center"/>
      <protection locked="0"/>
    </xf>
    <xf numFmtId="176" fontId="41" fillId="0" borderId="0" xfId="0" applyNumberFormat="1" applyFont="1" applyAlignment="1" applyProtection="1">
      <alignment horizontal="center" vertical="center"/>
      <protection locked="0"/>
    </xf>
    <xf numFmtId="49" fontId="41" fillId="0" borderId="0" xfId="0" applyNumberFormat="1" applyFont="1" applyAlignment="1" applyProtection="1">
      <alignment horizontal="center" vertical="center" shrinkToFit="1"/>
      <protection locked="0"/>
    </xf>
    <xf numFmtId="49" fontId="41" fillId="0" borderId="0" xfId="0" applyNumberFormat="1" applyFont="1" applyAlignment="1" applyProtection="1">
      <alignment horizontal="center" vertical="center" wrapText="1"/>
      <protection locked="0"/>
    </xf>
    <xf numFmtId="49" fontId="44" fillId="0" borderId="0" xfId="0" applyNumberFormat="1" applyFont="1" applyAlignment="1" applyProtection="1">
      <alignment horizontal="center" vertical="center"/>
      <protection locked="0"/>
    </xf>
    <xf numFmtId="176" fontId="54" fillId="0" borderId="48" xfId="0" applyNumberFormat="1" applyFont="1" applyFill="1" applyBorder="1" applyAlignment="1" applyProtection="1">
      <alignment horizontal="right" vertical="center"/>
      <protection locked="0"/>
    </xf>
    <xf numFmtId="41" fontId="65" fillId="0" borderId="34" xfId="6" applyNumberFormat="1" applyFont="1" applyBorder="1" applyAlignment="1">
      <alignment horizontal="center" vertical="center"/>
    </xf>
    <xf numFmtId="0" fontId="41" fillId="0" borderId="85" xfId="0" applyFont="1" applyFill="1" applyBorder="1" applyAlignment="1">
      <alignment horizontal="center" vertical="top" wrapText="1"/>
    </xf>
    <xf numFmtId="0" fontId="41" fillId="0" borderId="85" xfId="0" applyFont="1" applyFill="1" applyBorder="1" applyAlignment="1">
      <alignment horizontal="center" vertical="center" wrapText="1"/>
    </xf>
    <xf numFmtId="1" fontId="71" fillId="0" borderId="85" xfId="0" applyNumberFormat="1" applyFont="1" applyFill="1" applyBorder="1" applyAlignment="1">
      <alignment horizontal="center" vertical="center" shrinkToFit="1"/>
    </xf>
    <xf numFmtId="0" fontId="41" fillId="0" borderId="86" xfId="0" applyFont="1" applyFill="1" applyBorder="1" applyAlignment="1">
      <alignment horizontal="center" vertical="center" wrapText="1"/>
    </xf>
    <xf numFmtId="0" fontId="41" fillId="0" borderId="34" xfId="0" applyNumberFormat="1" applyFont="1" applyFill="1" applyBorder="1" applyAlignment="1" applyProtection="1">
      <alignment horizontal="center" vertical="center"/>
    </xf>
    <xf numFmtId="41" fontId="41" fillId="0" borderId="34" xfId="6" applyNumberFormat="1" applyFont="1" applyFill="1" applyBorder="1" applyAlignment="1" applyProtection="1">
      <alignment horizontal="center" vertical="center" wrapText="1"/>
    </xf>
    <xf numFmtId="49" fontId="66" fillId="0" borderId="34" xfId="0" applyNumberFormat="1" applyFont="1" applyFill="1" applyBorder="1" applyAlignment="1" applyProtection="1">
      <alignment horizontal="center" vertical="center" wrapText="1"/>
    </xf>
    <xf numFmtId="0" fontId="66" fillId="0" borderId="34" xfId="0" applyNumberFormat="1" applyFont="1" applyFill="1" applyBorder="1" applyAlignment="1" applyProtection="1">
      <alignment horizontal="center" vertical="center"/>
    </xf>
    <xf numFmtId="41" fontId="66" fillId="0" borderId="34" xfId="6" applyNumberFormat="1" applyFont="1" applyFill="1" applyBorder="1" applyAlignment="1" applyProtection="1">
      <alignment horizontal="center" vertical="center" wrapText="1"/>
    </xf>
    <xf numFmtId="0" fontId="45" fillId="0" borderId="85" xfId="0" applyFont="1" applyFill="1" applyBorder="1" applyAlignment="1">
      <alignment horizontal="center" vertical="center" wrapText="1"/>
    </xf>
    <xf numFmtId="0" fontId="65" fillId="0" borderId="85" xfId="0" applyFont="1" applyFill="1" applyBorder="1" applyAlignment="1">
      <alignment horizontal="center" vertical="center" wrapText="1"/>
    </xf>
    <xf numFmtId="0" fontId="67" fillId="0" borderId="85" xfId="0" applyFont="1" applyFill="1" applyBorder="1" applyAlignment="1">
      <alignment horizontal="center" vertical="center" wrapText="1"/>
    </xf>
    <xf numFmtId="0" fontId="65" fillId="0" borderId="86" xfId="0" applyFont="1" applyFill="1" applyBorder="1" applyAlignment="1">
      <alignment horizontal="center" vertical="center" wrapText="1"/>
    </xf>
    <xf numFmtId="1" fontId="65" fillId="0" borderId="85" xfId="0" applyNumberFormat="1" applyFont="1" applyFill="1" applyBorder="1" applyAlignment="1">
      <alignment horizontal="center" vertical="center" shrinkToFit="1"/>
    </xf>
    <xf numFmtId="41" fontId="71" fillId="0" borderId="86" xfId="6" applyFont="1" applyFill="1" applyBorder="1" applyAlignment="1">
      <alignment horizontal="center" vertical="center" shrinkToFit="1"/>
    </xf>
    <xf numFmtId="41" fontId="66" fillId="0" borderId="31" xfId="6" applyFont="1" applyFill="1" applyBorder="1" applyAlignment="1" applyProtection="1">
      <alignment horizontal="right" vertical="center"/>
      <protection locked="0"/>
    </xf>
    <xf numFmtId="41" fontId="65" fillId="0" borderId="86" xfId="6" applyFont="1" applyFill="1" applyBorder="1" applyAlignment="1">
      <alignment horizontal="center" vertical="center" wrapText="1"/>
    </xf>
    <xf numFmtId="41" fontId="65" fillId="0" borderId="86" xfId="6" applyFont="1" applyFill="1" applyBorder="1" applyAlignment="1">
      <alignment horizontal="center" vertical="center" shrinkToFit="1"/>
    </xf>
    <xf numFmtId="41" fontId="71" fillId="0" borderId="85" xfId="6" applyFont="1" applyFill="1" applyBorder="1" applyAlignment="1">
      <alignment horizontal="center" vertical="center" shrinkToFit="1"/>
    </xf>
    <xf numFmtId="41" fontId="66" fillId="0" borderId="4" xfId="6" applyFont="1" applyFill="1" applyBorder="1" applyAlignment="1" applyProtection="1">
      <alignment horizontal="right" vertical="center"/>
      <protection locked="0"/>
    </xf>
    <xf numFmtId="41" fontId="65" fillId="0" borderId="85" xfId="6" applyFont="1" applyFill="1" applyBorder="1" applyAlignment="1">
      <alignment horizontal="center" vertical="center" wrapText="1"/>
    </xf>
    <xf numFmtId="41" fontId="65" fillId="0" borderId="85" xfId="6" applyFont="1" applyFill="1" applyBorder="1" applyAlignment="1">
      <alignment horizontal="center" vertical="center" shrinkToFit="1"/>
    </xf>
    <xf numFmtId="0" fontId="47" fillId="0" borderId="85" xfId="0" applyFont="1" applyFill="1" applyBorder="1" applyAlignment="1">
      <alignment horizontal="center" vertical="center" wrapText="1"/>
    </xf>
    <xf numFmtId="0" fontId="71" fillId="0" borderId="85" xfId="0" applyFont="1" applyFill="1" applyBorder="1" applyAlignment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/>
    </xf>
    <xf numFmtId="41" fontId="20" fillId="0" borderId="34" xfId="6" applyNumberFormat="1" applyFont="1" applyFill="1" applyBorder="1" applyAlignment="1" applyProtection="1">
      <alignment horizontal="center" vertical="center" wrapText="1"/>
    </xf>
    <xf numFmtId="49" fontId="53" fillId="0" borderId="34" xfId="0" applyNumberFormat="1" applyFont="1" applyFill="1" applyBorder="1" applyAlignment="1" applyProtection="1">
      <alignment horizontal="center" vertical="center" wrapText="1"/>
    </xf>
    <xf numFmtId="0" fontId="53" fillId="0" borderId="34" xfId="0" applyNumberFormat="1" applyFont="1" applyFill="1" applyBorder="1" applyAlignment="1" applyProtection="1">
      <alignment horizontal="center" vertical="center"/>
    </xf>
    <xf numFmtId="41" fontId="53" fillId="0" borderId="34" xfId="6" applyNumberFormat="1" applyFont="1" applyFill="1" applyBorder="1" applyAlignment="1" applyProtection="1">
      <alignment horizontal="center" vertical="center" wrapText="1"/>
    </xf>
    <xf numFmtId="49" fontId="20" fillId="0" borderId="31" xfId="0" applyNumberFormat="1" applyFont="1" applyFill="1" applyBorder="1" applyAlignment="1" applyProtection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39" fillId="0" borderId="0" xfId="11" applyFont="1" applyAlignment="1" applyProtection="1">
      <alignment horizontal="center" vertical="center" wrapText="1"/>
    </xf>
    <xf numFmtId="0" fontId="41" fillId="0" borderId="30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9" fillId="0" borderId="0" xfId="11" applyFont="1" applyAlignment="1" applyProtection="1">
      <alignment horizontal="center" vertical="center"/>
    </xf>
    <xf numFmtId="0" fontId="41" fillId="0" borderId="47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0" fontId="39" fillId="0" borderId="0" xfId="11" applyFont="1" applyBorder="1" applyAlignment="1" applyProtection="1">
      <alignment horizontal="center" vertical="center"/>
    </xf>
    <xf numFmtId="0" fontId="40" fillId="0" borderId="31" xfId="0" applyFont="1" applyBorder="1" applyAlignment="1">
      <alignment horizontal="center" vertical="center" wrapText="1"/>
    </xf>
    <xf numFmtId="177" fontId="15" fillId="0" borderId="70" xfId="0" applyNumberFormat="1" applyFont="1" applyBorder="1" applyAlignment="1">
      <alignment horizontal="center" vertical="center"/>
    </xf>
    <xf numFmtId="177" fontId="15" fillId="0" borderId="71" xfId="0" applyNumberFormat="1" applyFont="1" applyBorder="1" applyAlignment="1">
      <alignment horizontal="center" vertical="center"/>
    </xf>
    <xf numFmtId="177" fontId="15" fillId="0" borderId="72" xfId="0" applyNumberFormat="1" applyFont="1" applyBorder="1" applyAlignment="1">
      <alignment horizontal="center" vertical="center"/>
    </xf>
    <xf numFmtId="177" fontId="15" fillId="0" borderId="73" xfId="0" applyNumberFormat="1" applyFont="1" applyBorder="1" applyAlignment="1">
      <alignment horizontal="center" vertical="center" wrapText="1"/>
    </xf>
    <xf numFmtId="177" fontId="15" fillId="0" borderId="74" xfId="0" applyNumberFormat="1" applyFont="1" applyBorder="1" applyAlignment="1">
      <alignment horizontal="center" vertical="center" wrapText="1"/>
    </xf>
    <xf numFmtId="177" fontId="15" fillId="0" borderId="75" xfId="0" applyNumberFormat="1" applyFont="1" applyBorder="1" applyAlignment="1">
      <alignment horizontal="center" vertical="center" wrapText="1"/>
    </xf>
    <xf numFmtId="177" fontId="15" fillId="0" borderId="14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177" fontId="15" fillId="0" borderId="15" xfId="0" applyNumberFormat="1" applyFont="1" applyBorder="1" applyAlignment="1">
      <alignment horizontal="center" vertical="center"/>
    </xf>
    <xf numFmtId="177" fontId="40" fillId="0" borderId="79" xfId="0" applyNumberFormat="1" applyFont="1" applyBorder="1" applyAlignment="1">
      <alignment horizontal="center" vertical="center" wrapText="1"/>
    </xf>
    <xf numFmtId="177" fontId="40" fillId="0" borderId="80" xfId="0" applyNumberFormat="1" applyFont="1" applyBorder="1" applyAlignment="1">
      <alignment horizontal="center" vertical="center" wrapText="1"/>
    </xf>
    <xf numFmtId="177" fontId="40" fillId="0" borderId="81" xfId="0" applyNumberFormat="1" applyFont="1" applyBorder="1" applyAlignment="1">
      <alignment horizontal="center" vertical="center" wrapText="1"/>
    </xf>
    <xf numFmtId="177" fontId="40" fillId="0" borderId="14" xfId="0" applyNumberFormat="1" applyFont="1" applyBorder="1" applyAlignment="1">
      <alignment horizontal="center" vertical="center"/>
    </xf>
    <xf numFmtId="177" fontId="40" fillId="0" borderId="15" xfId="0" applyNumberFormat="1" applyFont="1" applyBorder="1" applyAlignment="1">
      <alignment horizontal="center" vertical="center"/>
    </xf>
    <xf numFmtId="177" fontId="40" fillId="0" borderId="3" xfId="0" applyNumberFormat="1" applyFont="1" applyBorder="1" applyAlignment="1">
      <alignment horizontal="center" vertical="center"/>
    </xf>
    <xf numFmtId="177" fontId="40" fillId="0" borderId="76" xfId="0" applyNumberFormat="1" applyFont="1" applyBorder="1" applyAlignment="1">
      <alignment horizontal="center" vertical="center"/>
    </xf>
    <xf numFmtId="177" fontId="40" fillId="0" borderId="77" xfId="0" applyNumberFormat="1" applyFont="1" applyBorder="1" applyAlignment="1">
      <alignment horizontal="center" vertical="center"/>
    </xf>
    <xf numFmtId="177" fontId="40" fillId="0" borderId="78" xfId="0" applyNumberFormat="1" applyFont="1" applyBorder="1" applyAlignment="1">
      <alignment horizontal="center" vertical="center"/>
    </xf>
    <xf numFmtId="0" fontId="41" fillId="0" borderId="82" xfId="11" applyFont="1" applyBorder="1" applyAlignment="1" applyProtection="1">
      <alignment horizontal="center" vertical="center"/>
    </xf>
    <xf numFmtId="0" fontId="41" fillId="0" borderId="83" xfId="11" applyFont="1" applyBorder="1" applyAlignment="1" applyProtection="1">
      <alignment horizontal="center" vertical="center"/>
    </xf>
    <xf numFmtId="0" fontId="41" fillId="0" borderId="84" xfId="11" applyFont="1" applyBorder="1" applyAlignment="1" applyProtection="1">
      <alignment horizontal="center" vertical="center"/>
    </xf>
    <xf numFmtId="0" fontId="41" fillId="0" borderId="31" xfId="0" applyNumberFormat="1" applyFont="1" applyFill="1" applyBorder="1" applyAlignment="1" applyProtection="1">
      <alignment horizontal="center" vertical="center"/>
    </xf>
    <xf numFmtId="0" fontId="41" fillId="0" borderId="44" xfId="0" applyNumberFormat="1" applyFont="1" applyFill="1" applyBorder="1" applyAlignment="1" applyProtection="1">
      <alignment horizontal="center" vertical="center"/>
    </xf>
    <xf numFmtId="49" fontId="41" fillId="0" borderId="31" xfId="0" applyNumberFormat="1" applyFont="1" applyFill="1" applyBorder="1" applyAlignment="1" applyProtection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41" fillId="0" borderId="47" xfId="0" applyNumberFormat="1" applyFont="1" applyFill="1" applyBorder="1" applyAlignment="1" applyProtection="1">
      <alignment horizontal="center" vertical="center"/>
    </xf>
    <xf numFmtId="0" fontId="41" fillId="0" borderId="50" xfId="0" applyNumberFormat="1" applyFont="1" applyFill="1" applyBorder="1" applyAlignment="1" applyProtection="1">
      <alignment horizontal="center" vertical="center"/>
    </xf>
    <xf numFmtId="0" fontId="41" fillId="0" borderId="33" xfId="11" applyFont="1" applyBorder="1" applyAlignment="1" applyProtection="1">
      <alignment horizontal="center" vertical="center"/>
    </xf>
    <xf numFmtId="0" fontId="41" fillId="0" borderId="34" xfId="11" applyFont="1" applyBorder="1" applyAlignment="1" applyProtection="1">
      <alignment horizontal="center" vertical="center"/>
    </xf>
    <xf numFmtId="0" fontId="41" fillId="0" borderId="30" xfId="0" applyNumberFormat="1" applyFont="1" applyFill="1" applyBorder="1" applyAlignment="1" applyProtection="1">
      <alignment horizontal="center" vertical="center" wrapText="1"/>
    </xf>
    <xf numFmtId="0" fontId="41" fillId="0" borderId="49" xfId="0" applyNumberFormat="1" applyFont="1" applyFill="1" applyBorder="1" applyAlignment="1" applyProtection="1">
      <alignment horizontal="center" vertical="center"/>
    </xf>
    <xf numFmtId="49" fontId="66" fillId="0" borderId="31" xfId="0" applyNumberFormat="1" applyFont="1" applyFill="1" applyBorder="1" applyAlignment="1" applyProtection="1">
      <alignment horizontal="center" vertical="center"/>
    </xf>
    <xf numFmtId="0" fontId="65" fillId="0" borderId="66" xfId="0" applyNumberFormat="1" applyFont="1" applyFill="1" applyBorder="1" applyAlignment="1" applyProtection="1">
      <alignment horizontal="center" vertical="center" wrapText="1"/>
    </xf>
    <xf numFmtId="0" fontId="65" fillId="0" borderId="68" xfId="0" applyNumberFormat="1" applyFont="1" applyFill="1" applyBorder="1" applyAlignment="1" applyProtection="1">
      <alignment horizontal="center" vertical="center" wrapText="1"/>
    </xf>
    <xf numFmtId="0" fontId="20" fillId="0" borderId="47" xfId="0" applyNumberFormat="1" applyFont="1" applyFill="1" applyBorder="1" applyAlignment="1" applyProtection="1">
      <alignment horizontal="center" vertical="center"/>
    </xf>
    <xf numFmtId="0" fontId="20" fillId="0" borderId="50" xfId="0" applyNumberFormat="1" applyFont="1" applyFill="1" applyBorder="1" applyAlignment="1" applyProtection="1">
      <alignment horizontal="center" vertical="center"/>
    </xf>
    <xf numFmtId="0" fontId="20" fillId="0" borderId="30" xfId="0" applyNumberFormat="1" applyFont="1" applyFill="1" applyBorder="1" applyAlignment="1" applyProtection="1">
      <alignment horizontal="center" vertical="center" wrapText="1"/>
    </xf>
    <xf numFmtId="0" fontId="20" fillId="0" borderId="49" xfId="0" applyNumberFormat="1" applyFont="1" applyFill="1" applyBorder="1" applyAlignment="1" applyProtection="1">
      <alignment horizontal="center" vertical="center"/>
    </xf>
    <xf numFmtId="0" fontId="20" fillId="0" borderId="31" xfId="0" applyNumberFormat="1" applyFont="1" applyFill="1" applyBorder="1" applyAlignment="1" applyProtection="1">
      <alignment horizontal="center" vertical="center"/>
    </xf>
    <xf numFmtId="0" fontId="20" fillId="0" borderId="44" xfId="0" applyNumberFormat="1" applyFont="1" applyFill="1" applyBorder="1" applyAlignment="1" applyProtection="1">
      <alignment horizontal="center" vertical="center"/>
    </xf>
    <xf numFmtId="49" fontId="20" fillId="0" borderId="31" xfId="0" applyNumberFormat="1" applyFont="1" applyFill="1" applyBorder="1" applyAlignment="1" applyProtection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49" fontId="53" fillId="0" borderId="31" xfId="0" applyNumberFormat="1" applyFont="1" applyFill="1" applyBorder="1" applyAlignment="1" applyProtection="1">
      <alignment horizontal="center" vertical="center"/>
    </xf>
    <xf numFmtId="0" fontId="53" fillId="0" borderId="66" xfId="0" applyNumberFormat="1" applyFont="1" applyFill="1" applyBorder="1" applyAlignment="1" applyProtection="1">
      <alignment horizontal="center" vertical="center" wrapText="1"/>
    </xf>
    <xf numFmtId="0" fontId="53" fillId="0" borderId="68" xfId="0" applyNumberFormat="1" applyFont="1" applyFill="1" applyBorder="1" applyAlignment="1" applyProtection="1">
      <alignment horizontal="center" vertical="center" wrapText="1"/>
    </xf>
    <xf numFmtId="0" fontId="20" fillId="0" borderId="82" xfId="11" applyFont="1" applyBorder="1" applyAlignment="1" applyProtection="1">
      <alignment horizontal="center" vertical="center"/>
    </xf>
    <xf numFmtId="0" fontId="20" fillId="0" borderId="83" xfId="11" applyFont="1" applyBorder="1" applyAlignment="1" applyProtection="1">
      <alignment horizontal="center" vertical="center"/>
    </xf>
    <xf numFmtId="0" fontId="20" fillId="0" borderId="84" xfId="11" applyFont="1" applyBorder="1" applyAlignment="1" applyProtection="1">
      <alignment horizontal="center" vertical="center"/>
    </xf>
    <xf numFmtId="0" fontId="20" fillId="0" borderId="33" xfId="11" applyFont="1" applyBorder="1" applyAlignment="1" applyProtection="1">
      <alignment horizontal="center" vertical="center"/>
    </xf>
    <xf numFmtId="0" fontId="20" fillId="0" borderId="34" xfId="11" applyFont="1" applyBorder="1" applyAlignment="1" applyProtection="1">
      <alignment horizontal="center" vertical="center"/>
    </xf>
    <xf numFmtId="49" fontId="54" fillId="0" borderId="31" xfId="0" applyNumberFormat="1" applyFont="1" applyFill="1" applyBorder="1" applyAlignment="1" applyProtection="1">
      <alignment horizontal="center" vertical="center"/>
    </xf>
    <xf numFmtId="0" fontId="20" fillId="0" borderId="4" xfId="11" applyFont="1" applyBorder="1" applyAlignment="1" applyProtection="1">
      <alignment horizontal="center" vertical="center" wrapText="1"/>
    </xf>
    <xf numFmtId="0" fontId="41" fillId="0" borderId="87" xfId="0" applyFont="1" applyFill="1" applyBorder="1" applyAlignment="1" applyProtection="1">
      <alignment horizontal="center" vertical="center" wrapText="1"/>
      <protection locked="0"/>
    </xf>
    <xf numFmtId="0" fontId="41" fillId="0" borderId="34" xfId="11" applyFont="1" applyFill="1" applyBorder="1" applyAlignment="1" applyProtection="1">
      <alignment horizontal="centerContinuous" vertical="center"/>
    </xf>
    <xf numFmtId="41" fontId="41" fillId="0" borderId="34" xfId="6" applyNumberFormat="1" applyFont="1" applyFill="1" applyBorder="1" applyAlignment="1">
      <alignment horizontal="center" vertical="center"/>
    </xf>
    <xf numFmtId="0" fontId="66" fillId="0" borderId="34" xfId="11" applyFont="1" applyFill="1" applyBorder="1" applyAlignment="1" applyProtection="1">
      <alignment horizontal="centerContinuous" vertical="center"/>
    </xf>
    <xf numFmtId="0" fontId="65" fillId="0" borderId="34" xfId="11" applyFont="1" applyFill="1" applyBorder="1" applyAlignment="1" applyProtection="1">
      <alignment horizontal="centerContinuous" vertical="center"/>
    </xf>
    <xf numFmtId="1" fontId="65" fillId="0" borderId="34" xfId="0" applyNumberFormat="1" applyFont="1" applyFill="1" applyBorder="1" applyAlignment="1">
      <alignment horizontal="center" vertical="center"/>
    </xf>
    <xf numFmtId="176" fontId="65" fillId="0" borderId="34" xfId="11" applyNumberFormat="1" applyFont="1" applyFill="1" applyBorder="1" applyAlignment="1" applyProtection="1">
      <alignment horizontal="center" vertical="center"/>
    </xf>
    <xf numFmtId="41" fontId="65" fillId="0" borderId="34" xfId="6" applyNumberFormat="1" applyFont="1" applyFill="1" applyBorder="1" applyAlignment="1">
      <alignment horizontal="center" vertical="center"/>
    </xf>
    <xf numFmtId="1" fontId="41" fillId="0" borderId="34" xfId="0" applyNumberFormat="1" applyFont="1" applyFill="1" applyBorder="1" applyAlignment="1">
      <alignment horizontal="center" vertical="center" wrapText="1"/>
    </xf>
    <xf numFmtId="1" fontId="65" fillId="0" borderId="34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/>
    </xf>
    <xf numFmtId="0" fontId="30" fillId="0" borderId="0" xfId="11" applyFont="1" applyFill="1" applyBorder="1" applyAlignment="1" applyProtection="1">
      <alignment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1" fontId="20" fillId="0" borderId="0" xfId="6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11" applyFont="1" applyFill="1" applyBorder="1" applyAlignment="1" applyProtection="1">
      <alignment horizontal="right" vertical="center"/>
    </xf>
    <xf numFmtId="49" fontId="20" fillId="0" borderId="0" xfId="0" applyNumberFormat="1" applyFont="1" applyFill="1" applyAlignment="1" applyProtection="1">
      <alignment horizontal="center" vertical="center"/>
    </xf>
    <xf numFmtId="49" fontId="20" fillId="0" borderId="20" xfId="0" applyNumberFormat="1" applyFont="1" applyFill="1" applyBorder="1" applyAlignment="1" applyProtection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49" fontId="21" fillId="0" borderId="0" xfId="0" applyNumberFormat="1" applyFont="1" applyFill="1" applyAlignment="1" applyProtection="1">
      <alignment horizontal="center" vertical="center"/>
    </xf>
    <xf numFmtId="177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77" fontId="20" fillId="0" borderId="0" xfId="0" applyNumberFormat="1" applyFont="1" applyFill="1" applyBorder="1" applyAlignment="1" applyProtection="1">
      <alignment horizontal="center" vertical="center" wrapText="1"/>
    </xf>
    <xf numFmtId="177" fontId="26" fillId="0" borderId="0" xfId="0" applyNumberFormat="1" applyFont="1" applyFill="1" applyBorder="1" applyAlignment="1" applyProtection="1">
      <alignment horizontal="center" vertical="center" wrapText="1"/>
    </xf>
    <xf numFmtId="0" fontId="20" fillId="0" borderId="33" xfId="11" applyFont="1" applyFill="1" applyBorder="1" applyAlignment="1" applyProtection="1">
      <alignment horizontal="centerContinuous" vertical="center"/>
    </xf>
    <xf numFmtId="0" fontId="20" fillId="0" borderId="34" xfId="11" applyFont="1" applyFill="1" applyBorder="1" applyAlignment="1" applyProtection="1">
      <alignment horizontal="centerContinuous" vertical="center"/>
    </xf>
    <xf numFmtId="41" fontId="20" fillId="0" borderId="34" xfId="6" applyNumberFormat="1" applyFont="1" applyFill="1" applyBorder="1" applyAlignment="1">
      <alignment horizontal="center" vertical="center"/>
    </xf>
    <xf numFmtId="0" fontId="54" fillId="0" borderId="34" xfId="11" applyFont="1" applyFill="1" applyBorder="1" applyAlignment="1" applyProtection="1">
      <alignment horizontal="centerContinuous" vertical="center"/>
    </xf>
    <xf numFmtId="1" fontId="54" fillId="0" borderId="34" xfId="0" applyNumberFormat="1" applyFont="1" applyFill="1" applyBorder="1" applyAlignment="1">
      <alignment horizontal="center" vertical="center"/>
    </xf>
    <xf numFmtId="176" fontId="54" fillId="0" borderId="34" xfId="11" applyNumberFormat="1" applyFont="1" applyFill="1" applyBorder="1" applyAlignment="1" applyProtection="1">
      <alignment horizontal="center" vertical="center"/>
    </xf>
    <xf numFmtId="41" fontId="53" fillId="0" borderId="34" xfId="6" applyNumberFormat="1" applyFont="1" applyFill="1" applyBorder="1" applyAlignment="1">
      <alignment horizontal="center" vertical="center"/>
    </xf>
    <xf numFmtId="1" fontId="20" fillId="0" borderId="34" xfId="0" applyNumberFormat="1" applyFont="1" applyFill="1" applyBorder="1" applyAlignment="1">
      <alignment horizontal="center" vertical="center" wrapText="1"/>
    </xf>
    <xf numFmtId="1" fontId="53" fillId="0" borderId="34" xfId="0" applyNumberFormat="1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horizontal="center" vertical="center"/>
    </xf>
    <xf numFmtId="177" fontId="20" fillId="0" borderId="0" xfId="11" applyNumberFormat="1" applyFont="1" applyFill="1" applyBorder="1" applyAlignment="1" applyProtection="1">
      <alignment horizontal="center" vertical="center" wrapText="1"/>
    </xf>
    <xf numFmtId="0" fontId="54" fillId="0" borderId="34" xfId="11" applyFont="1" applyFill="1" applyBorder="1" applyAlignment="1" applyProtection="1">
      <alignment horizontal="center" vertical="center"/>
    </xf>
    <xf numFmtId="176" fontId="54" fillId="0" borderId="34" xfId="6" applyNumberFormat="1" applyFont="1" applyFill="1" applyBorder="1" applyAlignment="1">
      <alignment horizontal="right" vertical="center"/>
    </xf>
    <xf numFmtId="0" fontId="20" fillId="0" borderId="31" xfId="11" applyFont="1" applyFill="1" applyBorder="1" applyAlignment="1" applyProtection="1">
      <alignment horizontal="center" vertical="center" wrapText="1"/>
    </xf>
    <xf numFmtId="49" fontId="20" fillId="0" borderId="47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Fill="1" applyBorder="1" applyAlignment="1" applyProtection="1">
      <alignment horizontal="center" vertical="center"/>
    </xf>
    <xf numFmtId="1" fontId="37" fillId="0" borderId="4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5" xfId="0" applyFont="1" applyFill="1" applyBorder="1" applyAlignment="1">
      <alignment horizontal="center" vertical="center"/>
    </xf>
    <xf numFmtId="41" fontId="20" fillId="0" borderId="45" xfId="6" applyNumberFormat="1" applyFont="1" applyFill="1" applyBorder="1" applyAlignment="1">
      <alignment horizontal="center" vertical="center"/>
    </xf>
    <xf numFmtId="41" fontId="20" fillId="0" borderId="45" xfId="6" applyNumberFormat="1" applyFont="1" applyFill="1" applyBorder="1" applyAlignment="1">
      <alignment horizontal="right" vertical="center"/>
    </xf>
    <xf numFmtId="0" fontId="54" fillId="0" borderId="45" xfId="11" applyFont="1" applyFill="1" applyBorder="1" applyAlignment="1" applyProtection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53" fillId="0" borderId="45" xfId="0" applyFont="1" applyFill="1" applyBorder="1" applyAlignment="1">
      <alignment horizontal="center" vertical="center" wrapText="1"/>
    </xf>
    <xf numFmtId="1" fontId="38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54" fillId="0" borderId="45" xfId="0" applyFont="1" applyFill="1" applyBorder="1" applyAlignment="1">
      <alignment horizontal="center" vertical="center"/>
    </xf>
    <xf numFmtId="41" fontId="54" fillId="0" borderId="45" xfId="6" applyNumberFormat="1" applyFont="1" applyFill="1" applyBorder="1" applyAlignment="1">
      <alignment horizontal="center" vertical="center"/>
    </xf>
    <xf numFmtId="0" fontId="53" fillId="0" borderId="45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 wrapText="1"/>
    </xf>
    <xf numFmtId="41" fontId="20" fillId="0" borderId="31" xfId="6" applyNumberFormat="1" applyFont="1" applyFill="1" applyBorder="1" applyAlignment="1">
      <alignment horizontal="center" vertical="center"/>
    </xf>
    <xf numFmtId="0" fontId="54" fillId="0" borderId="31" xfId="11" applyFont="1" applyFill="1" applyBorder="1" applyAlignment="1" applyProtection="1">
      <alignment horizontal="center" vertical="center" wrapText="1"/>
    </xf>
    <xf numFmtId="0" fontId="54" fillId="0" borderId="31" xfId="0" applyFont="1" applyFill="1" applyBorder="1" applyAlignment="1">
      <alignment horizontal="center" vertical="center"/>
    </xf>
    <xf numFmtId="41" fontId="54" fillId="0" borderId="31" xfId="6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 wrapText="1"/>
    </xf>
    <xf numFmtId="0" fontId="53" fillId="0" borderId="31" xfId="0" applyFont="1" applyFill="1" applyBorder="1" applyAlignment="1">
      <alignment horizontal="center" vertical="center" wrapText="1"/>
    </xf>
    <xf numFmtId="0" fontId="54" fillId="0" borderId="4" xfId="0" quotePrefix="1" applyFont="1" applyFill="1" applyBorder="1" applyAlignment="1">
      <alignment horizontal="center" vertical="center"/>
    </xf>
    <xf numFmtId="179" fontId="54" fillId="0" borderId="4" xfId="0" applyNumberFormat="1" applyFont="1" applyFill="1" applyBorder="1" applyAlignment="1">
      <alignment horizontal="center" vertical="center"/>
    </xf>
    <xf numFmtId="187" fontId="11" fillId="0" borderId="4" xfId="0" applyNumberFormat="1" applyFont="1" applyFill="1" applyBorder="1" applyAlignment="1">
      <alignment horizontal="center" vertical="center" wrapText="1"/>
    </xf>
    <xf numFmtId="17" fontId="54" fillId="0" borderId="45" xfId="0" applyNumberFormat="1" applyFont="1" applyFill="1" applyBorder="1" applyAlignment="1">
      <alignment horizontal="center" vertical="center"/>
    </xf>
    <xf numFmtId="17" fontId="20" fillId="0" borderId="45" xfId="0" applyNumberFormat="1" applyFont="1" applyFill="1" applyBorder="1" applyAlignment="1">
      <alignment horizontal="center" vertical="center"/>
    </xf>
    <xf numFmtId="17" fontId="20" fillId="0" borderId="4" xfId="0" quotePrefix="1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33" xfId="11" applyFont="1" applyFill="1" applyBorder="1" applyAlignment="1" applyProtection="1">
      <alignment horizontal="center" vertical="center"/>
    </xf>
    <xf numFmtId="0" fontId="20" fillId="0" borderId="34" xfId="11" applyFont="1" applyFill="1" applyBorder="1" applyAlignment="1" applyProtection="1">
      <alignment horizontal="center" vertical="center"/>
    </xf>
    <xf numFmtId="0" fontId="54" fillId="0" borderId="34" xfId="11" applyFont="1" applyFill="1" applyBorder="1" applyAlignment="1" applyProtection="1">
      <alignment horizontal="right" vertical="center"/>
    </xf>
    <xf numFmtId="0" fontId="20" fillId="0" borderId="47" xfId="0" applyFont="1" applyFill="1" applyBorder="1" applyAlignment="1">
      <alignment horizontal="center" vertical="center"/>
    </xf>
    <xf numFmtId="176" fontId="54" fillId="0" borderId="4" xfId="0" quotePrefix="1" applyNumberFormat="1" applyFont="1" applyFill="1" applyBorder="1" applyAlignment="1">
      <alignment horizontal="right" vertical="center"/>
    </xf>
    <xf numFmtId="0" fontId="20" fillId="0" borderId="34" xfId="1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horizontal="center" vertical="center" shrinkToFit="1"/>
    </xf>
    <xf numFmtId="0" fontId="53" fillId="0" borderId="4" xfId="0" applyFont="1" applyFill="1" applyBorder="1" applyAlignment="1">
      <alignment horizontal="center" vertical="center" shrinkToFit="1"/>
    </xf>
    <xf numFmtId="0" fontId="20" fillId="0" borderId="4" xfId="11" applyFont="1" applyFill="1" applyBorder="1" applyAlignment="1" applyProtection="1">
      <alignment horizontal="center" vertical="center" wrapText="1"/>
    </xf>
    <xf numFmtId="41" fontId="54" fillId="0" borderId="34" xfId="6" applyNumberFormat="1" applyFont="1" applyFill="1" applyBorder="1" applyAlignment="1">
      <alignment horizontal="right" vertical="center"/>
    </xf>
    <xf numFmtId="0" fontId="53" fillId="0" borderId="4" xfId="0" applyFont="1" applyFill="1" applyBorder="1" applyAlignment="1">
      <alignment horizontal="center" vertical="center" wrapText="1" shrinkToFit="1"/>
    </xf>
    <xf numFmtId="176" fontId="54" fillId="0" borderId="44" xfId="0" applyNumberFormat="1" applyFont="1" applyFill="1" applyBorder="1" applyAlignment="1">
      <alignment horizontal="right" vertical="center"/>
    </xf>
    <xf numFmtId="0" fontId="54" fillId="0" borderId="44" xfId="0" applyFont="1" applyFill="1" applyBorder="1" applyAlignment="1">
      <alignment horizontal="center" vertical="center"/>
    </xf>
    <xf numFmtId="176" fontId="54" fillId="0" borderId="44" xfId="0" applyNumberFormat="1" applyFont="1" applyFill="1" applyBorder="1" applyAlignment="1" applyProtection="1">
      <alignment horizontal="right" vertical="center"/>
      <protection locked="0"/>
    </xf>
    <xf numFmtId="176" fontId="20" fillId="0" borderId="4" xfId="0" quotePrefix="1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 shrinkToFit="1"/>
    </xf>
    <xf numFmtId="49" fontId="20" fillId="0" borderId="5" xfId="0" applyNumberFormat="1" applyFont="1" applyFill="1" applyBorder="1" applyAlignment="1" applyProtection="1">
      <alignment horizontal="center" vertical="center"/>
      <protection locked="0"/>
    </xf>
    <xf numFmtId="49" fontId="2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47" xfId="0" applyNumberFormat="1" applyFont="1" applyFill="1" applyBorder="1" applyAlignment="1" applyProtection="1">
      <alignment horizontal="center" vertical="center"/>
      <protection locked="0"/>
    </xf>
    <xf numFmtId="49" fontId="6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82" xfId="11" applyFont="1" applyFill="1" applyBorder="1" applyAlignment="1" applyProtection="1">
      <alignment horizontal="center" vertical="center"/>
    </xf>
    <xf numFmtId="0" fontId="20" fillId="0" borderId="83" xfId="11" applyFont="1" applyFill="1" applyBorder="1" applyAlignment="1" applyProtection="1">
      <alignment horizontal="center" vertical="center"/>
    </xf>
    <xf numFmtId="0" fontId="20" fillId="0" borderId="84" xfId="11" applyFont="1" applyFill="1" applyBorder="1" applyAlignment="1" applyProtection="1">
      <alignment horizontal="center" vertical="center"/>
    </xf>
    <xf numFmtId="176" fontId="54" fillId="0" borderId="34" xfId="0" applyNumberFormat="1" applyFont="1" applyFill="1" applyBorder="1" applyAlignment="1" applyProtection="1">
      <alignment horizontal="right" vertical="center"/>
      <protection locked="0"/>
    </xf>
    <xf numFmtId="49" fontId="54" fillId="0" borderId="34" xfId="0" applyNumberFormat="1" applyFont="1" applyFill="1" applyBorder="1" applyAlignment="1" applyProtection="1">
      <alignment horizontal="center" vertical="center"/>
      <protection locked="0"/>
    </xf>
    <xf numFmtId="49" fontId="20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53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/>
      <protection locked="0"/>
    </xf>
    <xf numFmtId="49" fontId="54" fillId="0" borderId="31" xfId="0" applyNumberFormat="1" applyFont="1" applyFill="1" applyBorder="1" applyAlignment="1" applyProtection="1">
      <alignment horizontal="center" vertical="center"/>
      <protection locked="0"/>
    </xf>
    <xf numFmtId="49" fontId="20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3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53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176" fontId="53" fillId="0" borderId="45" xfId="0" applyNumberFormat="1" applyFont="1" applyFill="1" applyBorder="1" applyAlignment="1" applyProtection="1">
      <alignment horizontal="center" vertical="center"/>
      <protection locked="0"/>
    </xf>
    <xf numFmtId="49" fontId="53" fillId="0" borderId="45" xfId="0" applyNumberFormat="1" applyFont="1" applyFill="1" applyBorder="1" applyAlignment="1">
      <alignment horizontal="center" vertical="center"/>
    </xf>
    <xf numFmtId="176" fontId="53" fillId="0" borderId="45" xfId="0" applyNumberFormat="1" applyFont="1" applyFill="1" applyBorder="1" applyAlignment="1">
      <alignment horizontal="right" vertical="center"/>
    </xf>
    <xf numFmtId="176" fontId="53" fillId="0" borderId="45" xfId="0" applyNumberFormat="1" applyFont="1" applyFill="1" applyBorder="1" applyAlignment="1" applyProtection="1">
      <alignment horizontal="right" vertical="center"/>
      <protection locked="0"/>
    </xf>
    <xf numFmtId="0" fontId="41" fillId="0" borderId="88" xfId="0" applyFont="1" applyFill="1" applyBorder="1" applyAlignment="1">
      <alignment horizontal="center" vertical="center" wrapText="1"/>
    </xf>
    <xf numFmtId="0" fontId="41" fillId="0" borderId="89" xfId="0" applyFont="1" applyFill="1" applyBorder="1" applyAlignment="1">
      <alignment horizontal="center" vertical="center" wrapText="1"/>
    </xf>
    <xf numFmtId="41" fontId="71" fillId="0" borderId="89" xfId="6" applyFont="1" applyFill="1" applyBorder="1" applyAlignment="1">
      <alignment horizontal="center" vertical="center" shrinkToFit="1"/>
    </xf>
    <xf numFmtId="0" fontId="65" fillId="0" borderId="89" xfId="0" applyFont="1" applyFill="1" applyBorder="1" applyAlignment="1">
      <alignment horizontal="center" vertical="center" wrapText="1"/>
    </xf>
    <xf numFmtId="41" fontId="65" fillId="0" borderId="89" xfId="6" applyFont="1" applyFill="1" applyBorder="1" applyAlignment="1">
      <alignment horizontal="center" vertical="center" shrinkToFit="1"/>
    </xf>
  </cellXfs>
  <cellStyles count="13">
    <cellStyle name="Comma [0]_laroux" xfId="1"/>
    <cellStyle name="Comma_laroux" xfId="2"/>
    <cellStyle name="Currency [0]_laroux" xfId="3"/>
    <cellStyle name="Currency_laroux" xfId="4"/>
    <cellStyle name="Normal_Certs Q2" xfId="5"/>
    <cellStyle name="쉼표 [0]" xfId="6" builtinId="6"/>
    <cellStyle name="콤마 [0]_1" xfId="7"/>
    <cellStyle name="콤마_1" xfId="8"/>
    <cellStyle name="표준" xfId="0" builtinId="0"/>
    <cellStyle name="표준_광도면노산리" xfId="9"/>
    <cellStyle name="표준_광도면우동리" xfId="10"/>
    <cellStyle name="표준_용지조서(1)" xfId="11"/>
    <cellStyle name="표준_집계표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77"/>
  <sheetViews>
    <sheetView showZeros="0" view="pageBreakPreview" topLeftCell="A51" zoomScaleNormal="100" zoomScaleSheetLayoutView="100" workbookViewId="0">
      <selection activeCell="P9" sqref="P9"/>
    </sheetView>
  </sheetViews>
  <sheetFormatPr defaultColWidth="7.6640625" defaultRowHeight="32.1" customHeight="1" x14ac:dyDescent="0.15"/>
  <cols>
    <col min="1" max="1" width="6.77734375" style="4" customWidth="1"/>
    <col min="2" max="3" width="5.77734375" style="4" customWidth="1"/>
    <col min="4" max="5" width="7.77734375" style="4" customWidth="1"/>
    <col min="6" max="7" width="5.77734375" style="4" hidden="1" customWidth="1"/>
    <col min="8" max="9" width="8.77734375" style="4" hidden="1" customWidth="1"/>
    <col min="10" max="11" width="5.77734375" style="4" customWidth="1"/>
    <col min="12" max="13" width="7.77734375" style="4" customWidth="1"/>
    <col min="14" max="15" width="5.77734375" style="4" customWidth="1"/>
    <col min="16" max="17" width="7.77734375" style="4" customWidth="1"/>
    <col min="18" max="19" width="5.77734375" style="4" customWidth="1"/>
    <col min="20" max="21" width="7.77734375" style="4" customWidth="1"/>
    <col min="22" max="22" width="8.77734375" style="4" customWidth="1"/>
    <col min="23" max="16384" width="7.6640625" style="4"/>
  </cols>
  <sheetData>
    <row r="1" spans="1:22" s="2" customFormat="1" ht="32.1" customHeight="1" x14ac:dyDescent="0.15">
      <c r="A1" s="1053" t="s">
        <v>95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</row>
    <row r="2" spans="1:22" s="2" customFormat="1" ht="15" customHeight="1" thickBot="1" x14ac:dyDescent="0.2">
      <c r="A2" s="48"/>
      <c r="Q2" s="3"/>
      <c r="V2" s="45"/>
    </row>
    <row r="3" spans="1:22" ht="20.100000000000001" customHeight="1" x14ac:dyDescent="0.15">
      <c r="A3" s="1054" t="s">
        <v>23</v>
      </c>
      <c r="B3" s="1047" t="s">
        <v>17</v>
      </c>
      <c r="C3" s="1047"/>
      <c r="D3" s="1047"/>
      <c r="E3" s="1047"/>
      <c r="F3" s="669"/>
      <c r="G3" s="670"/>
      <c r="H3" s="670"/>
      <c r="I3" s="670"/>
      <c r="J3" s="1059" t="s">
        <v>225</v>
      </c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1"/>
      <c r="V3" s="1057" t="s">
        <v>98</v>
      </c>
    </row>
    <row r="4" spans="1:22" ht="20.100000000000001" customHeight="1" x14ac:dyDescent="0.15">
      <c r="A4" s="1055"/>
      <c r="B4" s="1048"/>
      <c r="C4" s="1048"/>
      <c r="D4" s="1048"/>
      <c r="E4" s="1048"/>
      <c r="F4" s="1045" t="s">
        <v>19</v>
      </c>
      <c r="G4" s="1046"/>
      <c r="H4" s="1046"/>
      <c r="I4" s="1046"/>
      <c r="J4" s="1050" t="s">
        <v>226</v>
      </c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2"/>
      <c r="V4" s="1058"/>
    </row>
    <row r="5" spans="1:22" ht="20.100000000000001" customHeight="1" x14ac:dyDescent="0.15">
      <c r="A5" s="1055"/>
      <c r="B5" s="1049"/>
      <c r="C5" s="1049"/>
      <c r="D5" s="1049"/>
      <c r="E5" s="1049"/>
      <c r="F5" s="1046"/>
      <c r="G5" s="1046"/>
      <c r="H5" s="1046"/>
      <c r="I5" s="1046"/>
      <c r="J5" s="1048" t="s">
        <v>227</v>
      </c>
      <c r="K5" s="1048"/>
      <c r="L5" s="1048"/>
      <c r="M5" s="1048"/>
      <c r="N5" s="1048" t="s">
        <v>228</v>
      </c>
      <c r="O5" s="1048"/>
      <c r="P5" s="1048"/>
      <c r="Q5" s="1048"/>
      <c r="R5" s="1048" t="s">
        <v>229</v>
      </c>
      <c r="S5" s="1049"/>
      <c r="T5" s="1049"/>
      <c r="U5" s="1049"/>
      <c r="V5" s="1058"/>
    </row>
    <row r="6" spans="1:22" ht="20.100000000000001" customHeight="1" x14ac:dyDescent="0.15">
      <c r="A6" s="1055"/>
      <c r="B6" s="656" t="s">
        <v>42</v>
      </c>
      <c r="C6" s="656"/>
      <c r="D6" s="1049" t="s">
        <v>64</v>
      </c>
      <c r="E6" s="1049"/>
      <c r="F6" s="656" t="s">
        <v>42</v>
      </c>
      <c r="G6" s="656"/>
      <c r="H6" s="1049" t="s">
        <v>64</v>
      </c>
      <c r="I6" s="1049"/>
      <c r="J6" s="656" t="s">
        <v>42</v>
      </c>
      <c r="K6" s="656"/>
      <c r="L6" s="1049" t="s">
        <v>64</v>
      </c>
      <c r="M6" s="1049"/>
      <c r="N6" s="656" t="s">
        <v>42</v>
      </c>
      <c r="O6" s="656"/>
      <c r="P6" s="1049" t="s">
        <v>64</v>
      </c>
      <c r="Q6" s="1049"/>
      <c r="R6" s="656" t="s">
        <v>42</v>
      </c>
      <c r="S6" s="656"/>
      <c r="T6" s="1049" t="s">
        <v>64</v>
      </c>
      <c r="U6" s="1049"/>
      <c r="V6" s="1058"/>
    </row>
    <row r="7" spans="1:22" ht="20.100000000000001" customHeight="1" x14ac:dyDescent="0.15">
      <c r="A7" s="1055"/>
      <c r="B7" s="654" t="s">
        <v>58</v>
      </c>
      <c r="C7" s="654" t="s">
        <v>59</v>
      </c>
      <c r="D7" s="654" t="s">
        <v>58</v>
      </c>
      <c r="E7" s="654" t="s">
        <v>60</v>
      </c>
      <c r="F7" s="654" t="s">
        <v>58</v>
      </c>
      <c r="G7" s="654" t="s">
        <v>59</v>
      </c>
      <c r="H7" s="654" t="s">
        <v>58</v>
      </c>
      <c r="I7" s="654" t="s">
        <v>60</v>
      </c>
      <c r="J7" s="654" t="s">
        <v>58</v>
      </c>
      <c r="K7" s="654" t="s">
        <v>59</v>
      </c>
      <c r="L7" s="654" t="s">
        <v>58</v>
      </c>
      <c r="M7" s="654" t="s">
        <v>60</v>
      </c>
      <c r="N7" s="654" t="s">
        <v>58</v>
      </c>
      <c r="O7" s="654" t="s">
        <v>59</v>
      </c>
      <c r="P7" s="654" t="s">
        <v>58</v>
      </c>
      <c r="Q7" s="654" t="s">
        <v>60</v>
      </c>
      <c r="R7" s="654" t="s">
        <v>58</v>
      </c>
      <c r="S7" s="654" t="s">
        <v>59</v>
      </c>
      <c r="T7" s="654" t="s">
        <v>58</v>
      </c>
      <c r="U7" s="654" t="s">
        <v>60</v>
      </c>
      <c r="V7" s="1058"/>
    </row>
    <row r="8" spans="1:22" s="50" customFormat="1" ht="29.1" customHeight="1" x14ac:dyDescent="0.15">
      <c r="A8" s="672" t="s">
        <v>24</v>
      </c>
      <c r="B8" s="642">
        <f>J8+N8+R8</f>
        <v>212</v>
      </c>
      <c r="C8" s="643">
        <f>K8+O8+S8</f>
        <v>195</v>
      </c>
      <c r="D8" s="644">
        <f>L8+P8+T8</f>
        <v>86799</v>
      </c>
      <c r="E8" s="645">
        <f>M8+Q8+U8</f>
        <v>83045</v>
      </c>
      <c r="F8" s="642">
        <f>J8+N8+R8</f>
        <v>212</v>
      </c>
      <c r="G8" s="642">
        <f>K8+O8+S8</f>
        <v>195</v>
      </c>
      <c r="H8" s="646">
        <f>L8+P8+T8</f>
        <v>86799</v>
      </c>
      <c r="I8" s="646">
        <f>M8+Q8+U8</f>
        <v>83045</v>
      </c>
      <c r="J8" s="642">
        <f>변경집계!$B6</f>
        <v>86</v>
      </c>
      <c r="K8" s="647">
        <f>변경집계!$C6</f>
        <v>77</v>
      </c>
      <c r="L8" s="646">
        <f>변경집계!$E6</f>
        <v>29165</v>
      </c>
      <c r="M8" s="648">
        <f>변경집계!$F6</f>
        <v>26921</v>
      </c>
      <c r="N8" s="642">
        <f>변경집계!$B29</f>
        <v>125</v>
      </c>
      <c r="O8" s="647">
        <f>변경집계!$C29</f>
        <v>117</v>
      </c>
      <c r="P8" s="646">
        <f>변경집계!$E29</f>
        <v>57628</v>
      </c>
      <c r="Q8" s="648">
        <f>변경집계!$F29</f>
        <v>56118</v>
      </c>
      <c r="R8" s="642">
        <f>변경집계!B52</f>
        <v>1</v>
      </c>
      <c r="S8" s="647">
        <f>변경집계!C52</f>
        <v>1</v>
      </c>
      <c r="T8" s="646">
        <f>변경집계!E52</f>
        <v>6</v>
      </c>
      <c r="U8" s="648">
        <f>변경집계!F52</f>
        <v>6</v>
      </c>
      <c r="V8" s="673">
        <f>E8-D8</f>
        <v>-3754</v>
      </c>
    </row>
    <row r="9" spans="1:22" ht="29.1" customHeight="1" x14ac:dyDescent="0.15">
      <c r="A9" s="657" t="s">
        <v>27</v>
      </c>
      <c r="B9" s="642">
        <f t="shared" ref="B9:B25" si="0">J9+N9+R9</f>
        <v>67</v>
      </c>
      <c r="C9" s="643">
        <f t="shared" ref="C9:C25" si="1">K9+O9+S9</f>
        <v>62</v>
      </c>
      <c r="D9" s="644">
        <f t="shared" ref="D9:D25" si="2">L9+P9+T9</f>
        <v>18500</v>
      </c>
      <c r="E9" s="645">
        <f t="shared" ref="E9:E25" si="3">M9+Q9+U9</f>
        <v>16991</v>
      </c>
      <c r="F9" s="642">
        <f t="shared" ref="F9:F25" si="4">J9+N9+R9</f>
        <v>67</v>
      </c>
      <c r="G9" s="642">
        <f t="shared" ref="G9:G25" si="5">K9+O9+S9</f>
        <v>62</v>
      </c>
      <c r="H9" s="646">
        <f t="shared" ref="H9:H25" si="6">L9+P9+T9</f>
        <v>18500</v>
      </c>
      <c r="I9" s="646">
        <f t="shared" ref="I9:I25" si="7">M9+Q9+U9</f>
        <v>16991</v>
      </c>
      <c r="J9" s="649">
        <f>변경집계!$B7</f>
        <v>33</v>
      </c>
      <c r="K9" s="650">
        <f>변경집계!$C7</f>
        <v>31</v>
      </c>
      <c r="L9" s="651">
        <f>변경집계!$E7</f>
        <v>9269</v>
      </c>
      <c r="M9" s="652">
        <f>변경집계!$F7</f>
        <v>8195</v>
      </c>
      <c r="N9" s="649">
        <f>변경집계!$B30</f>
        <v>34</v>
      </c>
      <c r="O9" s="650">
        <f>변경집계!$C30</f>
        <v>31</v>
      </c>
      <c r="P9" s="651">
        <f>변경집계!$E30</f>
        <v>9231</v>
      </c>
      <c r="Q9" s="652">
        <f>변경집계!$F30</f>
        <v>8796</v>
      </c>
      <c r="R9" s="649">
        <f>변경집계!B53</f>
        <v>0</v>
      </c>
      <c r="S9" s="650">
        <f>변경집계!C53</f>
        <v>0</v>
      </c>
      <c r="T9" s="651">
        <f>변경집계!E53</f>
        <v>0</v>
      </c>
      <c r="U9" s="652">
        <f>변경집계!C53</f>
        <v>0</v>
      </c>
      <c r="V9" s="674">
        <f t="shared" ref="V9:V25" si="8">E9-D9</f>
        <v>-1509</v>
      </c>
    </row>
    <row r="10" spans="1:22" ht="29.1" customHeight="1" x14ac:dyDescent="0.15">
      <c r="A10" s="657" t="s">
        <v>28</v>
      </c>
      <c r="B10" s="642">
        <f t="shared" si="0"/>
        <v>47</v>
      </c>
      <c r="C10" s="643">
        <f t="shared" si="1"/>
        <v>43</v>
      </c>
      <c r="D10" s="644">
        <f t="shared" si="2"/>
        <v>20051</v>
      </c>
      <c r="E10" s="645">
        <f t="shared" si="3"/>
        <v>19237</v>
      </c>
      <c r="F10" s="642">
        <f t="shared" si="4"/>
        <v>47</v>
      </c>
      <c r="G10" s="642">
        <f t="shared" si="5"/>
        <v>43</v>
      </c>
      <c r="H10" s="646">
        <f t="shared" si="6"/>
        <v>20051</v>
      </c>
      <c r="I10" s="646">
        <f t="shared" si="7"/>
        <v>19237</v>
      </c>
      <c r="J10" s="649">
        <f>변경집계!$B8</f>
        <v>11</v>
      </c>
      <c r="K10" s="650">
        <f>변경집계!$C8</f>
        <v>9</v>
      </c>
      <c r="L10" s="651">
        <f>변경집계!$E8</f>
        <v>4700</v>
      </c>
      <c r="M10" s="652">
        <f>변경집계!$F8</f>
        <v>4614</v>
      </c>
      <c r="N10" s="649">
        <f>변경집계!$B31</f>
        <v>36</v>
      </c>
      <c r="O10" s="650">
        <f>변경집계!$C31</f>
        <v>34</v>
      </c>
      <c r="P10" s="651">
        <f>변경집계!$E31</f>
        <v>15351</v>
      </c>
      <c r="Q10" s="652">
        <f>변경집계!$F31</f>
        <v>14623</v>
      </c>
      <c r="R10" s="649">
        <f>변경집계!B54</f>
        <v>0</v>
      </c>
      <c r="S10" s="650">
        <f>변경집계!C54</f>
        <v>0</v>
      </c>
      <c r="T10" s="651">
        <f>변경집계!E54</f>
        <v>0</v>
      </c>
      <c r="U10" s="652">
        <f>변경집계!C54</f>
        <v>0</v>
      </c>
      <c r="V10" s="674">
        <f t="shared" si="8"/>
        <v>-814</v>
      </c>
    </row>
    <row r="11" spans="1:22" ht="29.1" customHeight="1" x14ac:dyDescent="0.15">
      <c r="A11" s="657" t="s">
        <v>29</v>
      </c>
      <c r="B11" s="642">
        <f t="shared" si="0"/>
        <v>30</v>
      </c>
      <c r="C11" s="643">
        <f t="shared" si="1"/>
        <v>28</v>
      </c>
      <c r="D11" s="644">
        <f t="shared" si="2"/>
        <v>4100</v>
      </c>
      <c r="E11" s="645">
        <f t="shared" si="3"/>
        <v>3664</v>
      </c>
      <c r="F11" s="642">
        <f t="shared" si="4"/>
        <v>30</v>
      </c>
      <c r="G11" s="642">
        <f t="shared" si="5"/>
        <v>28</v>
      </c>
      <c r="H11" s="646">
        <f t="shared" si="6"/>
        <v>4100</v>
      </c>
      <c r="I11" s="646">
        <f t="shared" si="7"/>
        <v>3664</v>
      </c>
      <c r="J11" s="649">
        <f>변경집계!$B9</f>
        <v>16</v>
      </c>
      <c r="K11" s="650">
        <f>변경집계!$C9</f>
        <v>14</v>
      </c>
      <c r="L11" s="651">
        <f>변경집계!$E9</f>
        <v>1595</v>
      </c>
      <c r="M11" s="652">
        <f>변경집계!$F9</f>
        <v>1159</v>
      </c>
      <c r="N11" s="649">
        <f>변경집계!$B32</f>
        <v>14</v>
      </c>
      <c r="O11" s="650">
        <f>변경집계!$C32</f>
        <v>14</v>
      </c>
      <c r="P11" s="651">
        <f>변경집계!$E32</f>
        <v>2505</v>
      </c>
      <c r="Q11" s="652">
        <f>변경집계!$F32</f>
        <v>2505</v>
      </c>
      <c r="R11" s="649">
        <f>변경집계!B55</f>
        <v>0</v>
      </c>
      <c r="S11" s="650">
        <f>변경집계!C55</f>
        <v>0</v>
      </c>
      <c r="T11" s="651">
        <f>변경집계!E55</f>
        <v>0</v>
      </c>
      <c r="U11" s="652">
        <f>변경집계!C55</f>
        <v>0</v>
      </c>
      <c r="V11" s="674">
        <f t="shared" si="8"/>
        <v>-436</v>
      </c>
    </row>
    <row r="12" spans="1:22" ht="29.1" customHeight="1" x14ac:dyDescent="0.15">
      <c r="A12" s="657" t="s">
        <v>30</v>
      </c>
      <c r="B12" s="642">
        <f t="shared" si="0"/>
        <v>28</v>
      </c>
      <c r="C12" s="643">
        <f t="shared" si="1"/>
        <v>24</v>
      </c>
      <c r="D12" s="644">
        <f t="shared" si="2"/>
        <v>34530</v>
      </c>
      <c r="E12" s="645">
        <f t="shared" si="3"/>
        <v>33682</v>
      </c>
      <c r="F12" s="642">
        <f t="shared" si="4"/>
        <v>28</v>
      </c>
      <c r="G12" s="642">
        <f t="shared" si="5"/>
        <v>24</v>
      </c>
      <c r="H12" s="646">
        <f t="shared" si="6"/>
        <v>34530</v>
      </c>
      <c r="I12" s="646">
        <f t="shared" si="7"/>
        <v>33682</v>
      </c>
      <c r="J12" s="649">
        <f>변경집계!$B10</f>
        <v>11</v>
      </c>
      <c r="K12" s="650">
        <f>변경집계!$C10</f>
        <v>9</v>
      </c>
      <c r="L12" s="651">
        <f>변경집계!$E10</f>
        <v>11196</v>
      </c>
      <c r="M12" s="652">
        <f>변경집계!$F10</f>
        <v>10630</v>
      </c>
      <c r="N12" s="649">
        <f>변경집계!$B33</f>
        <v>17</v>
      </c>
      <c r="O12" s="650">
        <f>변경집계!$C33</f>
        <v>15</v>
      </c>
      <c r="P12" s="651">
        <f>변경집계!$E33</f>
        <v>23334</v>
      </c>
      <c r="Q12" s="652">
        <f>변경집계!$F33</f>
        <v>23052</v>
      </c>
      <c r="R12" s="649">
        <f>변경집계!B56</f>
        <v>0</v>
      </c>
      <c r="S12" s="650">
        <f>변경집계!C56</f>
        <v>0</v>
      </c>
      <c r="T12" s="651">
        <f>변경집계!E56</f>
        <v>0</v>
      </c>
      <c r="U12" s="652">
        <f>변경집계!C56</f>
        <v>0</v>
      </c>
      <c r="V12" s="674">
        <f t="shared" si="8"/>
        <v>-848</v>
      </c>
    </row>
    <row r="13" spans="1:22" ht="29.1" customHeight="1" x14ac:dyDescent="0.15">
      <c r="A13" s="657" t="s">
        <v>31</v>
      </c>
      <c r="B13" s="642">
        <f t="shared" si="0"/>
        <v>20</v>
      </c>
      <c r="C13" s="643">
        <f t="shared" si="1"/>
        <v>19</v>
      </c>
      <c r="D13" s="644">
        <f t="shared" si="2"/>
        <v>1645</v>
      </c>
      <c r="E13" s="645">
        <f t="shared" si="3"/>
        <v>1563</v>
      </c>
      <c r="F13" s="642">
        <f t="shared" si="4"/>
        <v>20</v>
      </c>
      <c r="G13" s="642">
        <f t="shared" si="5"/>
        <v>19</v>
      </c>
      <c r="H13" s="646">
        <f t="shared" si="6"/>
        <v>1645</v>
      </c>
      <c r="I13" s="646">
        <f t="shared" si="7"/>
        <v>1563</v>
      </c>
      <c r="J13" s="649">
        <f>변경집계!$B11</f>
        <v>12</v>
      </c>
      <c r="K13" s="650">
        <f>변경집계!$C11</f>
        <v>11</v>
      </c>
      <c r="L13" s="651">
        <f>변경집계!$E11</f>
        <v>1086</v>
      </c>
      <c r="M13" s="652">
        <f>변경집계!$F11</f>
        <v>1004</v>
      </c>
      <c r="N13" s="649">
        <f>변경집계!$B34</f>
        <v>8</v>
      </c>
      <c r="O13" s="650">
        <f>변경집계!$C34</f>
        <v>8</v>
      </c>
      <c r="P13" s="651">
        <f>변경집계!$E34</f>
        <v>559</v>
      </c>
      <c r="Q13" s="652">
        <f>변경집계!$F34</f>
        <v>559</v>
      </c>
      <c r="R13" s="649">
        <f>변경집계!B57</f>
        <v>0</v>
      </c>
      <c r="S13" s="650">
        <f>변경집계!C57</f>
        <v>0</v>
      </c>
      <c r="T13" s="651">
        <f>변경집계!E57</f>
        <v>0</v>
      </c>
      <c r="U13" s="652">
        <f>변경집계!C57</f>
        <v>0</v>
      </c>
      <c r="V13" s="674">
        <f t="shared" si="8"/>
        <v>-82</v>
      </c>
    </row>
    <row r="14" spans="1:22" ht="29.1" customHeight="1" x14ac:dyDescent="0.15">
      <c r="A14" s="657" t="s">
        <v>32</v>
      </c>
      <c r="B14" s="642">
        <f t="shared" si="0"/>
        <v>8</v>
      </c>
      <c r="C14" s="643">
        <f t="shared" si="1"/>
        <v>8</v>
      </c>
      <c r="D14" s="644">
        <f t="shared" si="2"/>
        <v>6699</v>
      </c>
      <c r="E14" s="645">
        <f t="shared" si="3"/>
        <v>6643</v>
      </c>
      <c r="F14" s="642">
        <f t="shared" si="4"/>
        <v>8</v>
      </c>
      <c r="G14" s="642">
        <f t="shared" si="5"/>
        <v>8</v>
      </c>
      <c r="H14" s="646">
        <f t="shared" si="6"/>
        <v>6699</v>
      </c>
      <c r="I14" s="646">
        <f t="shared" si="7"/>
        <v>6643</v>
      </c>
      <c r="J14" s="649">
        <f>변경집계!$B12</f>
        <v>1</v>
      </c>
      <c r="K14" s="650">
        <f>변경집계!$C12</f>
        <v>1</v>
      </c>
      <c r="L14" s="651">
        <f>변경집계!$E12</f>
        <v>1084</v>
      </c>
      <c r="M14" s="652">
        <f>변경집계!$F12</f>
        <v>1084</v>
      </c>
      <c r="N14" s="649">
        <f>변경집계!$B35</f>
        <v>7</v>
      </c>
      <c r="O14" s="650">
        <f>변경집계!$C35</f>
        <v>7</v>
      </c>
      <c r="P14" s="651">
        <f>변경집계!$E35</f>
        <v>5615</v>
      </c>
      <c r="Q14" s="652">
        <f>변경집계!$F35</f>
        <v>5559</v>
      </c>
      <c r="R14" s="649">
        <f>변경집계!B58</f>
        <v>0</v>
      </c>
      <c r="S14" s="650">
        <f>변경집계!C58</f>
        <v>0</v>
      </c>
      <c r="T14" s="651">
        <f>변경집계!E58</f>
        <v>0</v>
      </c>
      <c r="U14" s="652">
        <f>변경집계!C58</f>
        <v>0</v>
      </c>
      <c r="V14" s="674">
        <f t="shared" si="8"/>
        <v>-56</v>
      </c>
    </row>
    <row r="15" spans="1:22" ht="29.1" customHeight="1" x14ac:dyDescent="0.15">
      <c r="A15" s="657" t="s">
        <v>33</v>
      </c>
      <c r="B15" s="642">
        <f t="shared" si="0"/>
        <v>3</v>
      </c>
      <c r="C15" s="643">
        <f t="shared" si="1"/>
        <v>3</v>
      </c>
      <c r="D15" s="644">
        <f t="shared" si="2"/>
        <v>267</v>
      </c>
      <c r="E15" s="645">
        <f t="shared" si="3"/>
        <v>262</v>
      </c>
      <c r="F15" s="642">
        <f t="shared" si="4"/>
        <v>3</v>
      </c>
      <c r="G15" s="642">
        <f t="shared" si="5"/>
        <v>3</v>
      </c>
      <c r="H15" s="646">
        <f t="shared" si="6"/>
        <v>267</v>
      </c>
      <c r="I15" s="646">
        <f t="shared" si="7"/>
        <v>262</v>
      </c>
      <c r="J15" s="649">
        <f>변경집계!$B13</f>
        <v>1</v>
      </c>
      <c r="K15" s="650">
        <f>변경집계!$C13</f>
        <v>1</v>
      </c>
      <c r="L15" s="651">
        <f>변경집계!$E13</f>
        <v>193</v>
      </c>
      <c r="M15" s="652">
        <f>변경집계!$F13</f>
        <v>193</v>
      </c>
      <c r="N15" s="649">
        <f>변경집계!$B36</f>
        <v>1</v>
      </c>
      <c r="O15" s="650">
        <f>변경집계!$C36</f>
        <v>1</v>
      </c>
      <c r="P15" s="651">
        <f>변경집계!$E36</f>
        <v>68</v>
      </c>
      <c r="Q15" s="652">
        <f>변경집계!$F36</f>
        <v>68</v>
      </c>
      <c r="R15" s="649">
        <f>변경집계!B59</f>
        <v>1</v>
      </c>
      <c r="S15" s="650">
        <f>변경집계!C59</f>
        <v>1</v>
      </c>
      <c r="T15" s="651">
        <f>변경집계!E59</f>
        <v>6</v>
      </c>
      <c r="U15" s="652">
        <f>변경집계!C59</f>
        <v>1</v>
      </c>
      <c r="V15" s="674">
        <f t="shared" si="8"/>
        <v>-5</v>
      </c>
    </row>
    <row r="16" spans="1:22" ht="29.1" hidden="1" customHeight="1" x14ac:dyDescent="0.15">
      <c r="A16" s="657" t="s">
        <v>34</v>
      </c>
      <c r="B16" s="642">
        <f t="shared" si="0"/>
        <v>0</v>
      </c>
      <c r="C16" s="643">
        <f t="shared" si="1"/>
        <v>0</v>
      </c>
      <c r="D16" s="644">
        <f t="shared" si="2"/>
        <v>0</v>
      </c>
      <c r="E16" s="645">
        <f t="shared" si="3"/>
        <v>0</v>
      </c>
      <c r="F16" s="642">
        <f t="shared" si="4"/>
        <v>0</v>
      </c>
      <c r="G16" s="642">
        <f t="shared" si="5"/>
        <v>0</v>
      </c>
      <c r="H16" s="646">
        <f t="shared" si="6"/>
        <v>0</v>
      </c>
      <c r="I16" s="646">
        <f t="shared" si="7"/>
        <v>0</v>
      </c>
      <c r="J16" s="649">
        <f>변경집계!$B14</f>
        <v>0</v>
      </c>
      <c r="K16" s="650">
        <f>변경집계!$C14</f>
        <v>0</v>
      </c>
      <c r="L16" s="651">
        <f>변경집계!$E14</f>
        <v>0</v>
      </c>
      <c r="M16" s="652">
        <f>변경집계!$F14</f>
        <v>0</v>
      </c>
      <c r="N16" s="649">
        <f>변경집계!$B37</f>
        <v>0</v>
      </c>
      <c r="O16" s="650">
        <f>변경집계!$C37</f>
        <v>0</v>
      </c>
      <c r="P16" s="651">
        <f>변경집계!$E37</f>
        <v>0</v>
      </c>
      <c r="Q16" s="652">
        <f>변경집계!$F37</f>
        <v>0</v>
      </c>
      <c r="R16" s="649">
        <f>변경집계!B60</f>
        <v>0</v>
      </c>
      <c r="S16" s="650">
        <f>변경집계!C60</f>
        <v>0</v>
      </c>
      <c r="T16" s="651">
        <f>변경집계!E60</f>
        <v>0</v>
      </c>
      <c r="U16" s="652">
        <f>변경집계!C60</f>
        <v>0</v>
      </c>
      <c r="V16" s="674">
        <f t="shared" si="8"/>
        <v>0</v>
      </c>
    </row>
    <row r="17" spans="1:22" ht="29.1" hidden="1" customHeight="1" x14ac:dyDescent="0.15">
      <c r="A17" s="657" t="s">
        <v>15</v>
      </c>
      <c r="B17" s="642">
        <f t="shared" si="0"/>
        <v>0</v>
      </c>
      <c r="C17" s="643">
        <f t="shared" si="1"/>
        <v>0</v>
      </c>
      <c r="D17" s="644">
        <f t="shared" si="2"/>
        <v>0</v>
      </c>
      <c r="E17" s="645">
        <f t="shared" si="3"/>
        <v>0</v>
      </c>
      <c r="F17" s="642">
        <f t="shared" si="4"/>
        <v>0</v>
      </c>
      <c r="G17" s="642">
        <f t="shared" si="5"/>
        <v>0</v>
      </c>
      <c r="H17" s="646">
        <f t="shared" si="6"/>
        <v>0</v>
      </c>
      <c r="I17" s="646">
        <f t="shared" si="7"/>
        <v>0</v>
      </c>
      <c r="J17" s="649">
        <f>변경집계!$B15</f>
        <v>0</v>
      </c>
      <c r="K17" s="650">
        <f>변경집계!$C15</f>
        <v>0</v>
      </c>
      <c r="L17" s="651">
        <f>변경집계!$E15</f>
        <v>0</v>
      </c>
      <c r="M17" s="652">
        <f>변경집계!$F15</f>
        <v>0</v>
      </c>
      <c r="N17" s="649">
        <f>변경집계!$B38</f>
        <v>0</v>
      </c>
      <c r="O17" s="650">
        <f>변경집계!$C38</f>
        <v>0</v>
      </c>
      <c r="P17" s="651">
        <f>변경집계!$E38</f>
        <v>0</v>
      </c>
      <c r="Q17" s="652">
        <f>변경집계!$F38</f>
        <v>0</v>
      </c>
      <c r="R17" s="649">
        <f>변경집계!B61</f>
        <v>0</v>
      </c>
      <c r="S17" s="650">
        <f>변경집계!C61</f>
        <v>0</v>
      </c>
      <c r="T17" s="651">
        <f>변경집계!E61</f>
        <v>0</v>
      </c>
      <c r="U17" s="652">
        <f>변경집계!C61</f>
        <v>0</v>
      </c>
      <c r="V17" s="674">
        <f t="shared" si="8"/>
        <v>0</v>
      </c>
    </row>
    <row r="18" spans="1:22" ht="29.1" customHeight="1" x14ac:dyDescent="0.15">
      <c r="A18" s="657" t="s">
        <v>35</v>
      </c>
      <c r="B18" s="642">
        <f t="shared" si="0"/>
        <v>1</v>
      </c>
      <c r="C18" s="643">
        <f t="shared" si="1"/>
        <v>1</v>
      </c>
      <c r="D18" s="644">
        <f t="shared" si="2"/>
        <v>124</v>
      </c>
      <c r="E18" s="645">
        <f t="shared" si="3"/>
        <v>124</v>
      </c>
      <c r="F18" s="642">
        <f t="shared" si="4"/>
        <v>1</v>
      </c>
      <c r="G18" s="642">
        <f t="shared" si="5"/>
        <v>1</v>
      </c>
      <c r="H18" s="646">
        <f t="shared" si="6"/>
        <v>124</v>
      </c>
      <c r="I18" s="646">
        <f t="shared" si="7"/>
        <v>124</v>
      </c>
      <c r="J18" s="649">
        <f>변경집계!$B16</f>
        <v>0</v>
      </c>
      <c r="K18" s="650">
        <f>변경집계!$C16</f>
        <v>0</v>
      </c>
      <c r="L18" s="651">
        <f>변경집계!$E16</f>
        <v>0</v>
      </c>
      <c r="M18" s="652">
        <f>변경집계!$F16</f>
        <v>0</v>
      </c>
      <c r="N18" s="649">
        <f>변경집계!$B39</f>
        <v>1</v>
      </c>
      <c r="O18" s="650">
        <f>변경집계!$C39</f>
        <v>1</v>
      </c>
      <c r="P18" s="651">
        <f>변경집계!$E39</f>
        <v>124</v>
      </c>
      <c r="Q18" s="652">
        <f>변경집계!$F39</f>
        <v>124</v>
      </c>
      <c r="R18" s="649">
        <f>변경집계!B62</f>
        <v>0</v>
      </c>
      <c r="S18" s="650">
        <f>변경집계!C62</f>
        <v>0</v>
      </c>
      <c r="T18" s="651">
        <f>변경집계!E62</f>
        <v>0</v>
      </c>
      <c r="U18" s="652">
        <f>변경집계!C62</f>
        <v>0</v>
      </c>
      <c r="V18" s="674">
        <f t="shared" si="8"/>
        <v>0</v>
      </c>
    </row>
    <row r="19" spans="1:22" ht="29.1" hidden="1" customHeight="1" x14ac:dyDescent="0.15">
      <c r="A19" s="657" t="s">
        <v>36</v>
      </c>
      <c r="B19" s="642">
        <f t="shared" si="0"/>
        <v>0</v>
      </c>
      <c r="C19" s="643">
        <f t="shared" si="1"/>
        <v>0</v>
      </c>
      <c r="D19" s="644">
        <f t="shared" si="2"/>
        <v>0</v>
      </c>
      <c r="E19" s="645">
        <f t="shared" si="3"/>
        <v>0</v>
      </c>
      <c r="F19" s="642">
        <f t="shared" si="4"/>
        <v>0</v>
      </c>
      <c r="G19" s="642">
        <f t="shared" si="5"/>
        <v>0</v>
      </c>
      <c r="H19" s="646">
        <f t="shared" si="6"/>
        <v>0</v>
      </c>
      <c r="I19" s="646">
        <f t="shared" si="7"/>
        <v>0</v>
      </c>
      <c r="J19" s="649">
        <f>변경집계!$B17</f>
        <v>0</v>
      </c>
      <c r="K19" s="650">
        <f>변경집계!$C17</f>
        <v>0</v>
      </c>
      <c r="L19" s="651">
        <f>변경집계!$E17</f>
        <v>0</v>
      </c>
      <c r="M19" s="652">
        <f>변경집계!$F17</f>
        <v>0</v>
      </c>
      <c r="N19" s="649">
        <f>변경집계!$B40</f>
        <v>0</v>
      </c>
      <c r="O19" s="650">
        <f>변경집계!$C40</f>
        <v>0</v>
      </c>
      <c r="P19" s="651">
        <f>변경집계!$E40</f>
        <v>0</v>
      </c>
      <c r="Q19" s="652">
        <f>변경집계!$F40</f>
        <v>0</v>
      </c>
      <c r="R19" s="649">
        <f>변경집계!B63</f>
        <v>0</v>
      </c>
      <c r="S19" s="650">
        <f>변경집계!C63</f>
        <v>0</v>
      </c>
      <c r="T19" s="651">
        <f>변경집계!E63</f>
        <v>0</v>
      </c>
      <c r="U19" s="652">
        <f>변경집계!C63</f>
        <v>0</v>
      </c>
      <c r="V19" s="674">
        <f t="shared" si="8"/>
        <v>0</v>
      </c>
    </row>
    <row r="20" spans="1:22" ht="29.1" customHeight="1" x14ac:dyDescent="0.15">
      <c r="A20" s="657" t="s">
        <v>218</v>
      </c>
      <c r="B20" s="642">
        <f t="shared" si="0"/>
        <v>1</v>
      </c>
      <c r="C20" s="643">
        <f t="shared" si="1"/>
        <v>1</v>
      </c>
      <c r="D20" s="644">
        <f t="shared" si="2"/>
        <v>285</v>
      </c>
      <c r="E20" s="645">
        <f t="shared" si="3"/>
        <v>285</v>
      </c>
      <c r="F20" s="642">
        <f t="shared" si="4"/>
        <v>1</v>
      </c>
      <c r="G20" s="642">
        <f t="shared" si="5"/>
        <v>1</v>
      </c>
      <c r="H20" s="646">
        <f t="shared" si="6"/>
        <v>285</v>
      </c>
      <c r="I20" s="646">
        <f t="shared" si="7"/>
        <v>285</v>
      </c>
      <c r="J20" s="649">
        <f>변경집계!$B18</f>
        <v>0</v>
      </c>
      <c r="K20" s="650">
        <f>변경집계!$C18</f>
        <v>0</v>
      </c>
      <c r="L20" s="651">
        <f>변경집계!$E18</f>
        <v>0</v>
      </c>
      <c r="M20" s="652">
        <f>변경집계!$F18</f>
        <v>0</v>
      </c>
      <c r="N20" s="649">
        <f>변경집계!$B41</f>
        <v>1</v>
      </c>
      <c r="O20" s="650">
        <f>변경집계!$C41</f>
        <v>1</v>
      </c>
      <c r="P20" s="651">
        <f>변경집계!$E41</f>
        <v>285</v>
      </c>
      <c r="Q20" s="652">
        <f>변경집계!$F41</f>
        <v>285</v>
      </c>
      <c r="R20" s="649">
        <f>변경집계!B64</f>
        <v>0</v>
      </c>
      <c r="S20" s="650">
        <f>변경집계!C64</f>
        <v>0</v>
      </c>
      <c r="T20" s="651">
        <f>변경집계!E64</f>
        <v>0</v>
      </c>
      <c r="U20" s="652">
        <f>변경집계!C64</f>
        <v>0</v>
      </c>
      <c r="V20" s="674">
        <f t="shared" si="8"/>
        <v>0</v>
      </c>
    </row>
    <row r="21" spans="1:22" ht="29.1" customHeight="1" x14ac:dyDescent="0.15">
      <c r="A21" s="657" t="s">
        <v>2</v>
      </c>
      <c r="B21" s="642">
        <f t="shared" si="0"/>
        <v>2</v>
      </c>
      <c r="C21" s="643">
        <f t="shared" si="1"/>
        <v>2</v>
      </c>
      <c r="D21" s="644">
        <f t="shared" si="2"/>
        <v>314</v>
      </c>
      <c r="E21" s="645">
        <f t="shared" si="3"/>
        <v>314</v>
      </c>
      <c r="F21" s="642">
        <f t="shared" si="4"/>
        <v>2</v>
      </c>
      <c r="G21" s="642">
        <f t="shared" si="5"/>
        <v>2</v>
      </c>
      <c r="H21" s="646">
        <f t="shared" si="6"/>
        <v>314</v>
      </c>
      <c r="I21" s="646">
        <f t="shared" si="7"/>
        <v>314</v>
      </c>
      <c r="J21" s="649">
        <f>변경집계!B19</f>
        <v>0</v>
      </c>
      <c r="K21" s="650">
        <f>변경집계!C19</f>
        <v>0</v>
      </c>
      <c r="L21" s="651">
        <f>변경집계!E19</f>
        <v>0</v>
      </c>
      <c r="M21" s="652">
        <f>변경집계!$F19</f>
        <v>0</v>
      </c>
      <c r="N21" s="649">
        <f>변경집계!$B42</f>
        <v>2</v>
      </c>
      <c r="O21" s="650">
        <f>변경집계!$C42</f>
        <v>2</v>
      </c>
      <c r="P21" s="651">
        <f>변경집계!$E42</f>
        <v>314</v>
      </c>
      <c r="Q21" s="652">
        <f>변경집계!$F42</f>
        <v>314</v>
      </c>
      <c r="R21" s="649">
        <f>변경집계!B65</f>
        <v>0</v>
      </c>
      <c r="S21" s="650">
        <f>변경집계!C65</f>
        <v>0</v>
      </c>
      <c r="T21" s="651">
        <f>변경집계!E65</f>
        <v>0</v>
      </c>
      <c r="U21" s="652">
        <f>변경집계!C65</f>
        <v>0</v>
      </c>
      <c r="V21" s="674">
        <f t="shared" si="8"/>
        <v>0</v>
      </c>
    </row>
    <row r="22" spans="1:22" ht="29.1" customHeight="1" thickBot="1" x14ac:dyDescent="0.2">
      <c r="A22" s="658" t="s">
        <v>5</v>
      </c>
      <c r="B22" s="675">
        <f t="shared" si="0"/>
        <v>5</v>
      </c>
      <c r="C22" s="676">
        <f t="shared" si="1"/>
        <v>4</v>
      </c>
      <c r="D22" s="677">
        <f t="shared" si="2"/>
        <v>284</v>
      </c>
      <c r="E22" s="678">
        <f t="shared" si="3"/>
        <v>275</v>
      </c>
      <c r="F22" s="675">
        <f t="shared" si="4"/>
        <v>5</v>
      </c>
      <c r="G22" s="675">
        <f t="shared" si="5"/>
        <v>4</v>
      </c>
      <c r="H22" s="679">
        <f t="shared" si="6"/>
        <v>284</v>
      </c>
      <c r="I22" s="679">
        <f t="shared" si="7"/>
        <v>275</v>
      </c>
      <c r="J22" s="680">
        <f>변경집계!B20</f>
        <v>1</v>
      </c>
      <c r="K22" s="681">
        <f>변경집계!C20</f>
        <v>1</v>
      </c>
      <c r="L22" s="682">
        <f>변경집계!E20</f>
        <v>42</v>
      </c>
      <c r="M22" s="683">
        <f>변경집계!F20</f>
        <v>42</v>
      </c>
      <c r="N22" s="680">
        <f>변경집계!$B43</f>
        <v>4</v>
      </c>
      <c r="O22" s="681">
        <f>변경집계!$C43</f>
        <v>3</v>
      </c>
      <c r="P22" s="682">
        <f>변경집계!$E43</f>
        <v>242</v>
      </c>
      <c r="Q22" s="683">
        <f>변경집계!$F43</f>
        <v>233</v>
      </c>
      <c r="R22" s="680">
        <f>변경집계!B66</f>
        <v>0</v>
      </c>
      <c r="S22" s="681">
        <f>변경집계!C66</f>
        <v>0</v>
      </c>
      <c r="T22" s="682">
        <f>변경집계!E66</f>
        <v>0</v>
      </c>
      <c r="U22" s="683">
        <f>변경집계!C66</f>
        <v>0</v>
      </c>
      <c r="V22" s="684">
        <f t="shared" si="8"/>
        <v>-9</v>
      </c>
    </row>
    <row r="23" spans="1:22" ht="29.1" hidden="1" customHeight="1" x14ac:dyDescent="0.15">
      <c r="A23" s="659" t="s">
        <v>193</v>
      </c>
      <c r="B23" s="660">
        <f t="shared" si="0"/>
        <v>0</v>
      </c>
      <c r="C23" s="661">
        <f t="shared" si="1"/>
        <v>0</v>
      </c>
      <c r="D23" s="662">
        <f t="shared" si="2"/>
        <v>0</v>
      </c>
      <c r="E23" s="663">
        <f t="shared" si="3"/>
        <v>0</v>
      </c>
      <c r="F23" s="660">
        <f t="shared" si="4"/>
        <v>0</v>
      </c>
      <c r="G23" s="660">
        <f t="shared" si="5"/>
        <v>0</v>
      </c>
      <c r="H23" s="664">
        <f t="shared" si="6"/>
        <v>0</v>
      </c>
      <c r="I23" s="664">
        <f t="shared" si="7"/>
        <v>0</v>
      </c>
      <c r="J23" s="665">
        <f>변경집계!B21</f>
        <v>0</v>
      </c>
      <c r="K23" s="666">
        <f>변경집계!C21</f>
        <v>0</v>
      </c>
      <c r="L23" s="667">
        <f>변경집계!E21</f>
        <v>0</v>
      </c>
      <c r="M23" s="668">
        <f>변경집계!F21</f>
        <v>0</v>
      </c>
      <c r="N23" s="665">
        <f>변경집계!$B44</f>
        <v>0</v>
      </c>
      <c r="O23" s="666">
        <f>변경집계!$C44</f>
        <v>0</v>
      </c>
      <c r="P23" s="667">
        <f>변경집계!$E44</f>
        <v>0</v>
      </c>
      <c r="Q23" s="668">
        <f>변경집계!$F44</f>
        <v>0</v>
      </c>
      <c r="R23" s="665">
        <f>변경집계!B67</f>
        <v>0</v>
      </c>
      <c r="S23" s="666">
        <f>변경집계!C67</f>
        <v>0</v>
      </c>
      <c r="T23" s="667">
        <f>변경집계!E67</f>
        <v>0</v>
      </c>
      <c r="U23" s="668">
        <f>변경집계!C67</f>
        <v>0</v>
      </c>
      <c r="V23" s="667">
        <f t="shared" si="8"/>
        <v>0</v>
      </c>
    </row>
    <row r="24" spans="1:22" ht="29.1" hidden="1" customHeight="1" x14ac:dyDescent="0.15">
      <c r="A24" s="657" t="s">
        <v>40</v>
      </c>
      <c r="B24" s="642">
        <f t="shared" si="0"/>
        <v>0</v>
      </c>
      <c r="C24" s="643">
        <f t="shared" si="1"/>
        <v>0</v>
      </c>
      <c r="D24" s="644">
        <f t="shared" si="2"/>
        <v>0</v>
      </c>
      <c r="E24" s="645">
        <f t="shared" si="3"/>
        <v>0</v>
      </c>
      <c r="F24" s="642">
        <f t="shared" si="4"/>
        <v>0</v>
      </c>
      <c r="G24" s="642">
        <f t="shared" si="5"/>
        <v>0</v>
      </c>
      <c r="H24" s="646">
        <f t="shared" si="6"/>
        <v>0</v>
      </c>
      <c r="I24" s="646">
        <f t="shared" si="7"/>
        <v>0</v>
      </c>
      <c r="J24" s="649">
        <f>변경집계!B22</f>
        <v>0</v>
      </c>
      <c r="K24" s="650">
        <f>변경집계!C22</f>
        <v>0</v>
      </c>
      <c r="L24" s="651">
        <f>변경집계!E22</f>
        <v>0</v>
      </c>
      <c r="M24" s="652">
        <f>변경집계!F22</f>
        <v>0</v>
      </c>
      <c r="N24" s="649">
        <f>변경집계!$B45</f>
        <v>0</v>
      </c>
      <c r="O24" s="650">
        <f>변경집계!$C45</f>
        <v>0</v>
      </c>
      <c r="P24" s="651">
        <f>변경집계!$E45</f>
        <v>0</v>
      </c>
      <c r="Q24" s="652">
        <f>변경집계!$F45</f>
        <v>0</v>
      </c>
      <c r="R24" s="649">
        <f>변경집계!B68</f>
        <v>0</v>
      </c>
      <c r="S24" s="650">
        <f>변경집계!C68</f>
        <v>0</v>
      </c>
      <c r="T24" s="651">
        <f>변경집계!E68</f>
        <v>0</v>
      </c>
      <c r="U24" s="652">
        <f>변경집계!C68</f>
        <v>0</v>
      </c>
      <c r="V24" s="651">
        <f t="shared" si="8"/>
        <v>0</v>
      </c>
    </row>
    <row r="25" spans="1:22" ht="29.1" hidden="1" customHeight="1" thickBot="1" x14ac:dyDescent="0.2">
      <c r="A25" s="658" t="s">
        <v>16</v>
      </c>
      <c r="B25" s="642">
        <f t="shared" si="0"/>
        <v>0</v>
      </c>
      <c r="C25" s="643">
        <f t="shared" si="1"/>
        <v>0</v>
      </c>
      <c r="D25" s="644">
        <f t="shared" si="2"/>
        <v>0</v>
      </c>
      <c r="E25" s="645">
        <f t="shared" si="3"/>
        <v>0</v>
      </c>
      <c r="F25" s="642">
        <f t="shared" si="4"/>
        <v>0</v>
      </c>
      <c r="G25" s="642">
        <f t="shared" si="5"/>
        <v>0</v>
      </c>
      <c r="H25" s="646">
        <f t="shared" si="6"/>
        <v>0</v>
      </c>
      <c r="I25" s="646">
        <f t="shared" si="7"/>
        <v>0</v>
      </c>
      <c r="J25" s="653">
        <f>변경집계!B23</f>
        <v>0</v>
      </c>
      <c r="K25" s="650">
        <f>변경집계!C23</f>
        <v>0</v>
      </c>
      <c r="L25" s="651">
        <f>변경집계!E23</f>
        <v>0</v>
      </c>
      <c r="M25" s="652">
        <f>변경집계!F23</f>
        <v>0</v>
      </c>
      <c r="N25" s="649">
        <f>변경집계!$G21</f>
        <v>0</v>
      </c>
      <c r="O25" s="650">
        <f>변경집계!$H21</f>
        <v>0</v>
      </c>
      <c r="P25" s="651">
        <f>변경집계!$J21</f>
        <v>0</v>
      </c>
      <c r="Q25" s="652">
        <f>변경집계!$K21</f>
        <v>0</v>
      </c>
      <c r="R25" s="649">
        <f>변경집계!$G44</f>
        <v>0</v>
      </c>
      <c r="S25" s="650">
        <f>변경집계!C69</f>
        <v>0</v>
      </c>
      <c r="T25" s="651">
        <f>변경집계!E69</f>
        <v>0</v>
      </c>
      <c r="U25" s="652">
        <f>변경집계!C69</f>
        <v>0</v>
      </c>
      <c r="V25" s="651">
        <f t="shared" si="8"/>
        <v>0</v>
      </c>
    </row>
    <row r="26" spans="1:22" s="2" customFormat="1" ht="32.1" customHeight="1" x14ac:dyDescent="0.15">
      <c r="A26" s="1056" t="s">
        <v>96</v>
      </c>
      <c r="B26" s="1056"/>
      <c r="C26" s="1056"/>
      <c r="D26" s="1056"/>
      <c r="E26" s="1056"/>
      <c r="F26" s="1056"/>
      <c r="G26" s="1056"/>
      <c r="H26" s="1056"/>
      <c r="I26" s="1056"/>
      <c r="J26" s="1056"/>
      <c r="K26" s="1056"/>
      <c r="L26" s="1056"/>
      <c r="M26" s="1056"/>
      <c r="N26" s="1056"/>
      <c r="O26" s="1056"/>
      <c r="P26" s="1056"/>
      <c r="Q26" s="1056"/>
      <c r="R26" s="1056"/>
      <c r="S26" s="1056"/>
      <c r="T26" s="1056"/>
      <c r="U26" s="1056"/>
      <c r="V26" s="1056"/>
    </row>
    <row r="27" spans="1:22" s="2" customFormat="1" ht="15" customHeight="1" thickBot="1" x14ac:dyDescent="0.2">
      <c r="A27" s="48"/>
      <c r="Q27" s="3"/>
      <c r="V27" s="45"/>
    </row>
    <row r="28" spans="1:22" ht="20.100000000000001" customHeight="1" x14ac:dyDescent="0.15">
      <c r="A28" s="1054" t="s">
        <v>23</v>
      </c>
      <c r="B28" s="1047" t="s">
        <v>17</v>
      </c>
      <c r="C28" s="1047"/>
      <c r="D28" s="1047"/>
      <c r="E28" s="1047"/>
      <c r="F28" s="669" t="s">
        <v>18</v>
      </c>
      <c r="G28" s="670"/>
      <c r="H28" s="670"/>
      <c r="I28" s="670"/>
      <c r="J28" s="1059" t="s">
        <v>225</v>
      </c>
      <c r="K28" s="1060"/>
      <c r="L28" s="1060"/>
      <c r="M28" s="1060"/>
      <c r="N28" s="1060"/>
      <c r="O28" s="1060"/>
      <c r="P28" s="1060"/>
      <c r="Q28" s="1060"/>
      <c r="R28" s="1060"/>
      <c r="S28" s="1060"/>
      <c r="T28" s="1060"/>
      <c r="U28" s="1061"/>
      <c r="V28" s="1057" t="s">
        <v>98</v>
      </c>
    </row>
    <row r="29" spans="1:22" ht="20.100000000000001" customHeight="1" x14ac:dyDescent="0.15">
      <c r="A29" s="1055"/>
      <c r="B29" s="1048"/>
      <c r="C29" s="1048"/>
      <c r="D29" s="1048"/>
      <c r="E29" s="1048"/>
      <c r="F29" s="1045" t="s">
        <v>19</v>
      </c>
      <c r="G29" s="1046"/>
      <c r="H29" s="1046"/>
      <c r="I29" s="1046"/>
      <c r="J29" s="1050" t="s">
        <v>226</v>
      </c>
      <c r="K29" s="1051"/>
      <c r="L29" s="1051"/>
      <c r="M29" s="1051"/>
      <c r="N29" s="1051"/>
      <c r="O29" s="1051"/>
      <c r="P29" s="1051"/>
      <c r="Q29" s="1051"/>
      <c r="R29" s="1051"/>
      <c r="S29" s="1051"/>
      <c r="T29" s="1051"/>
      <c r="U29" s="1052"/>
      <c r="V29" s="1058"/>
    </row>
    <row r="30" spans="1:22" ht="20.100000000000001" customHeight="1" x14ac:dyDescent="0.15">
      <c r="A30" s="1055"/>
      <c r="B30" s="1049"/>
      <c r="C30" s="1049"/>
      <c r="D30" s="1049"/>
      <c r="E30" s="1049"/>
      <c r="F30" s="1046"/>
      <c r="G30" s="1046"/>
      <c r="H30" s="1046"/>
      <c r="I30" s="1046"/>
      <c r="J30" s="1048" t="s">
        <v>227</v>
      </c>
      <c r="K30" s="1048"/>
      <c r="L30" s="1048"/>
      <c r="M30" s="1048"/>
      <c r="N30" s="1048" t="s">
        <v>228</v>
      </c>
      <c r="O30" s="1048"/>
      <c r="P30" s="1048"/>
      <c r="Q30" s="1048"/>
      <c r="R30" s="1048" t="s">
        <v>229</v>
      </c>
      <c r="S30" s="1049"/>
      <c r="T30" s="1049"/>
      <c r="U30" s="1049"/>
      <c r="V30" s="1058"/>
    </row>
    <row r="31" spans="1:22" ht="20.100000000000001" customHeight="1" x14ac:dyDescent="0.15">
      <c r="A31" s="1055"/>
      <c r="B31" s="656" t="s">
        <v>42</v>
      </c>
      <c r="C31" s="656"/>
      <c r="D31" s="1049" t="s">
        <v>64</v>
      </c>
      <c r="E31" s="1049"/>
      <c r="F31" s="656" t="s">
        <v>42</v>
      </c>
      <c r="G31" s="656"/>
      <c r="H31" s="1049" t="s">
        <v>64</v>
      </c>
      <c r="I31" s="1049"/>
      <c r="J31" s="656" t="s">
        <v>42</v>
      </c>
      <c r="K31" s="656"/>
      <c r="L31" s="1049" t="s">
        <v>64</v>
      </c>
      <c r="M31" s="1049"/>
      <c r="N31" s="656" t="s">
        <v>42</v>
      </c>
      <c r="O31" s="656"/>
      <c r="P31" s="1049" t="s">
        <v>64</v>
      </c>
      <c r="Q31" s="1049"/>
      <c r="R31" s="656" t="s">
        <v>42</v>
      </c>
      <c r="S31" s="656"/>
      <c r="T31" s="1049" t="s">
        <v>64</v>
      </c>
      <c r="U31" s="1049"/>
      <c r="V31" s="1058"/>
    </row>
    <row r="32" spans="1:22" ht="20.100000000000001" customHeight="1" x14ac:dyDescent="0.15">
      <c r="A32" s="1055"/>
      <c r="B32" s="654" t="s">
        <v>58</v>
      </c>
      <c r="C32" s="654" t="s">
        <v>59</v>
      </c>
      <c r="D32" s="654" t="s">
        <v>58</v>
      </c>
      <c r="E32" s="654" t="s">
        <v>60</v>
      </c>
      <c r="F32" s="654" t="s">
        <v>58</v>
      </c>
      <c r="G32" s="654" t="s">
        <v>59</v>
      </c>
      <c r="H32" s="654" t="s">
        <v>58</v>
      </c>
      <c r="I32" s="654" t="s">
        <v>60</v>
      </c>
      <c r="J32" s="654" t="s">
        <v>58</v>
      </c>
      <c r="K32" s="654" t="s">
        <v>59</v>
      </c>
      <c r="L32" s="654" t="s">
        <v>58</v>
      </c>
      <c r="M32" s="654" t="s">
        <v>60</v>
      </c>
      <c r="N32" s="654" t="s">
        <v>58</v>
      </c>
      <c r="O32" s="654" t="s">
        <v>59</v>
      </c>
      <c r="P32" s="654" t="s">
        <v>58</v>
      </c>
      <c r="Q32" s="654" t="s">
        <v>60</v>
      </c>
      <c r="R32" s="654" t="s">
        <v>58</v>
      </c>
      <c r="S32" s="654" t="s">
        <v>59</v>
      </c>
      <c r="T32" s="654" t="s">
        <v>58</v>
      </c>
      <c r="U32" s="654" t="s">
        <v>60</v>
      </c>
      <c r="V32" s="1058"/>
    </row>
    <row r="33" spans="1:22" s="50" customFormat="1" ht="29.1" customHeight="1" x14ac:dyDescent="0.15">
      <c r="A33" s="672" t="s">
        <v>24</v>
      </c>
      <c r="B33" s="642">
        <f>J33+N33+R33</f>
        <v>27</v>
      </c>
      <c r="C33" s="643">
        <f>K33+O33+S33</f>
        <v>195</v>
      </c>
      <c r="D33" s="644">
        <f>L33+P33+T33</f>
        <v>8491</v>
      </c>
      <c r="E33" s="645">
        <f>M33+Q33+U33</f>
        <v>83045</v>
      </c>
      <c r="F33" s="642">
        <f>J33+N33+R33</f>
        <v>27</v>
      </c>
      <c r="G33" s="642">
        <f>K33+O33+S33</f>
        <v>195</v>
      </c>
      <c r="H33" s="646">
        <f>L33+P33+T33</f>
        <v>8491</v>
      </c>
      <c r="I33" s="646">
        <f>M33+Q33+U33</f>
        <v>83045</v>
      </c>
      <c r="J33" s="642">
        <f>변경집계!$G6</f>
        <v>12</v>
      </c>
      <c r="K33" s="643">
        <f>변경집계!$H6</f>
        <v>77</v>
      </c>
      <c r="L33" s="646">
        <f>변경집계!$J6</f>
        <v>2372</v>
      </c>
      <c r="M33" s="698">
        <f>변경집계!$K6</f>
        <v>26921</v>
      </c>
      <c r="N33" s="642">
        <f>변경집계!$G29</f>
        <v>14</v>
      </c>
      <c r="O33" s="643">
        <f>변경집계!$H29</f>
        <v>117</v>
      </c>
      <c r="P33" s="646">
        <f>변경집계!$J29</f>
        <v>6113</v>
      </c>
      <c r="Q33" s="698">
        <f>변경집계!$K29</f>
        <v>56118</v>
      </c>
      <c r="R33" s="642">
        <f>변경집계!G52</f>
        <v>1</v>
      </c>
      <c r="S33" s="643">
        <f>변경집계!H52</f>
        <v>1</v>
      </c>
      <c r="T33" s="646">
        <f>변경집계!J52</f>
        <v>6</v>
      </c>
      <c r="U33" s="698">
        <f>변경집계!K52</f>
        <v>6</v>
      </c>
      <c r="V33" s="673">
        <f t="shared" ref="V33:V50" si="9">E33-D33</f>
        <v>74554</v>
      </c>
    </row>
    <row r="34" spans="1:22" s="7" customFormat="1" ht="29.1" customHeight="1" x14ac:dyDescent="0.15">
      <c r="A34" s="657" t="s">
        <v>27</v>
      </c>
      <c r="B34" s="642">
        <f t="shared" ref="B34:B49" si="10">J34+N34+R34</f>
        <v>1</v>
      </c>
      <c r="C34" s="643">
        <f t="shared" ref="C34:C49" si="11">K34+O34+S34</f>
        <v>62</v>
      </c>
      <c r="D34" s="644">
        <f t="shared" ref="D34:D49" si="12">L34+P34+T34</f>
        <v>18</v>
      </c>
      <c r="E34" s="645">
        <f t="shared" ref="E34:E49" si="13">M34+Q34+U34</f>
        <v>16991</v>
      </c>
      <c r="F34" s="642">
        <f t="shared" ref="F34:F50" si="14">J34+N34+R34</f>
        <v>1</v>
      </c>
      <c r="G34" s="642">
        <f t="shared" ref="G34:G50" si="15">K34+O34+S34</f>
        <v>62</v>
      </c>
      <c r="H34" s="646">
        <f t="shared" ref="H34:H50" si="16">L34+P34+T34</f>
        <v>18</v>
      </c>
      <c r="I34" s="646">
        <f t="shared" ref="I34:I50" si="17">M34+Q34+U34</f>
        <v>16991</v>
      </c>
      <c r="J34" s="649">
        <f>변경집계!$G7</f>
        <v>1</v>
      </c>
      <c r="K34" s="699">
        <f>변경집계!$H7</f>
        <v>31</v>
      </c>
      <c r="L34" s="651">
        <f>변경집계!$J7</f>
        <v>18</v>
      </c>
      <c r="M34" s="700">
        <f>변경집계!$K7</f>
        <v>8195</v>
      </c>
      <c r="N34" s="649">
        <f>변경집계!$G30</f>
        <v>0</v>
      </c>
      <c r="O34" s="699">
        <f>변경집계!$H30</f>
        <v>31</v>
      </c>
      <c r="P34" s="651">
        <f>변경집계!$J30</f>
        <v>0</v>
      </c>
      <c r="Q34" s="700">
        <f>변경집계!$K30</f>
        <v>8796</v>
      </c>
      <c r="R34" s="642">
        <f>변경집계!G53</f>
        <v>0</v>
      </c>
      <c r="S34" s="643">
        <f>변경집계!H53</f>
        <v>0</v>
      </c>
      <c r="T34" s="646">
        <f>변경집계!J53</f>
        <v>0</v>
      </c>
      <c r="U34" s="698">
        <f>변경집계!K53</f>
        <v>0</v>
      </c>
      <c r="V34" s="674">
        <f t="shared" si="9"/>
        <v>16973</v>
      </c>
    </row>
    <row r="35" spans="1:22" s="7" customFormat="1" ht="29.1" customHeight="1" x14ac:dyDescent="0.15">
      <c r="A35" s="657" t="s">
        <v>28</v>
      </c>
      <c r="B35" s="642">
        <f t="shared" si="10"/>
        <v>2</v>
      </c>
      <c r="C35" s="643">
        <f t="shared" si="11"/>
        <v>43</v>
      </c>
      <c r="D35" s="644">
        <f t="shared" si="12"/>
        <v>149</v>
      </c>
      <c r="E35" s="645">
        <f t="shared" si="13"/>
        <v>19237</v>
      </c>
      <c r="F35" s="642">
        <f t="shared" si="14"/>
        <v>2</v>
      </c>
      <c r="G35" s="642">
        <f t="shared" si="15"/>
        <v>43</v>
      </c>
      <c r="H35" s="646">
        <f t="shared" si="16"/>
        <v>149</v>
      </c>
      <c r="I35" s="646">
        <f t="shared" si="17"/>
        <v>19237</v>
      </c>
      <c r="J35" s="649">
        <f>변경집계!$G8</f>
        <v>2</v>
      </c>
      <c r="K35" s="699">
        <f>변경집계!$H8</f>
        <v>9</v>
      </c>
      <c r="L35" s="651">
        <f>변경집계!$J8</f>
        <v>149</v>
      </c>
      <c r="M35" s="700">
        <f>변경집계!$K8</f>
        <v>4614</v>
      </c>
      <c r="N35" s="649">
        <f>변경집계!$G31</f>
        <v>0</v>
      </c>
      <c r="O35" s="699">
        <f>변경집계!$H31</f>
        <v>34</v>
      </c>
      <c r="P35" s="651">
        <f>변경집계!$J31</f>
        <v>0</v>
      </c>
      <c r="Q35" s="700">
        <f>변경집계!$K31</f>
        <v>14623</v>
      </c>
      <c r="R35" s="642">
        <f>변경집계!G54</f>
        <v>0</v>
      </c>
      <c r="S35" s="643">
        <f>변경집계!H54</f>
        <v>0</v>
      </c>
      <c r="T35" s="646">
        <f>변경집계!J54</f>
        <v>0</v>
      </c>
      <c r="U35" s="698">
        <f>변경집계!K54</f>
        <v>0</v>
      </c>
      <c r="V35" s="674">
        <f t="shared" si="9"/>
        <v>19088</v>
      </c>
    </row>
    <row r="36" spans="1:22" s="7" customFormat="1" ht="29.1" customHeight="1" x14ac:dyDescent="0.15">
      <c r="A36" s="657" t="s">
        <v>29</v>
      </c>
      <c r="B36" s="642">
        <f t="shared" si="10"/>
        <v>1</v>
      </c>
      <c r="C36" s="643">
        <f t="shared" si="11"/>
        <v>28</v>
      </c>
      <c r="D36" s="644">
        <f t="shared" si="12"/>
        <v>129</v>
      </c>
      <c r="E36" s="645">
        <f t="shared" si="13"/>
        <v>3664</v>
      </c>
      <c r="F36" s="642">
        <f t="shared" si="14"/>
        <v>1</v>
      </c>
      <c r="G36" s="642">
        <f t="shared" si="15"/>
        <v>28</v>
      </c>
      <c r="H36" s="646">
        <f t="shared" si="16"/>
        <v>129</v>
      </c>
      <c r="I36" s="646">
        <f t="shared" si="17"/>
        <v>3664</v>
      </c>
      <c r="J36" s="649">
        <f>변경집계!$G9</f>
        <v>0</v>
      </c>
      <c r="K36" s="699">
        <f>변경집계!$H9</f>
        <v>14</v>
      </c>
      <c r="L36" s="651">
        <f>변경집계!$J9</f>
        <v>0</v>
      </c>
      <c r="M36" s="700">
        <f>변경집계!$K9</f>
        <v>1159</v>
      </c>
      <c r="N36" s="649">
        <f>변경집계!$G32</f>
        <v>1</v>
      </c>
      <c r="O36" s="699">
        <f>변경집계!$H32</f>
        <v>14</v>
      </c>
      <c r="P36" s="651">
        <f>변경집계!$J32</f>
        <v>129</v>
      </c>
      <c r="Q36" s="700">
        <f>변경집계!$K32</f>
        <v>2505</v>
      </c>
      <c r="R36" s="642">
        <f>변경집계!G55</f>
        <v>0</v>
      </c>
      <c r="S36" s="643">
        <f>변경집계!H55</f>
        <v>0</v>
      </c>
      <c r="T36" s="646">
        <f>변경집계!J55</f>
        <v>0</v>
      </c>
      <c r="U36" s="698">
        <f>변경집계!K55</f>
        <v>0</v>
      </c>
      <c r="V36" s="674">
        <f t="shared" si="9"/>
        <v>3535</v>
      </c>
    </row>
    <row r="37" spans="1:22" s="7" customFormat="1" ht="29.1" customHeight="1" x14ac:dyDescent="0.15">
      <c r="A37" s="657" t="s">
        <v>30</v>
      </c>
      <c r="B37" s="642">
        <f t="shared" si="10"/>
        <v>1</v>
      </c>
      <c r="C37" s="643">
        <f t="shared" si="11"/>
        <v>24</v>
      </c>
      <c r="D37" s="644">
        <f t="shared" si="12"/>
        <v>195</v>
      </c>
      <c r="E37" s="645">
        <f t="shared" si="13"/>
        <v>33682</v>
      </c>
      <c r="F37" s="642">
        <f t="shared" si="14"/>
        <v>1</v>
      </c>
      <c r="G37" s="642">
        <f t="shared" si="15"/>
        <v>24</v>
      </c>
      <c r="H37" s="646">
        <f t="shared" si="16"/>
        <v>195</v>
      </c>
      <c r="I37" s="646">
        <f t="shared" si="17"/>
        <v>33682</v>
      </c>
      <c r="J37" s="649">
        <f>변경집계!$G10</f>
        <v>1</v>
      </c>
      <c r="K37" s="699">
        <f>변경집계!$H10</f>
        <v>9</v>
      </c>
      <c r="L37" s="651">
        <f>변경집계!$J10</f>
        <v>195</v>
      </c>
      <c r="M37" s="700">
        <f>변경집계!$K10</f>
        <v>10630</v>
      </c>
      <c r="N37" s="649">
        <f>변경집계!$G33</f>
        <v>0</v>
      </c>
      <c r="O37" s="699">
        <f>변경집계!$H33</f>
        <v>15</v>
      </c>
      <c r="P37" s="651">
        <f>변경집계!$J33</f>
        <v>0</v>
      </c>
      <c r="Q37" s="700">
        <f>변경집계!$K33</f>
        <v>23052</v>
      </c>
      <c r="R37" s="642">
        <f>변경집계!G56</f>
        <v>0</v>
      </c>
      <c r="S37" s="643">
        <f>변경집계!H56</f>
        <v>0</v>
      </c>
      <c r="T37" s="646">
        <f>변경집계!J56</f>
        <v>0</v>
      </c>
      <c r="U37" s="698">
        <f>변경집계!K56</f>
        <v>0</v>
      </c>
      <c r="V37" s="674">
        <f t="shared" si="9"/>
        <v>33487</v>
      </c>
    </row>
    <row r="38" spans="1:22" s="7" customFormat="1" ht="29.1" customHeight="1" x14ac:dyDescent="0.15">
      <c r="A38" s="657" t="s">
        <v>31</v>
      </c>
      <c r="B38" s="642">
        <f t="shared" si="10"/>
        <v>13</v>
      </c>
      <c r="C38" s="643">
        <f t="shared" si="11"/>
        <v>19</v>
      </c>
      <c r="D38" s="644">
        <f t="shared" si="12"/>
        <v>1236</v>
      </c>
      <c r="E38" s="645">
        <f t="shared" si="13"/>
        <v>1563</v>
      </c>
      <c r="F38" s="642">
        <f t="shared" si="14"/>
        <v>13</v>
      </c>
      <c r="G38" s="642">
        <f t="shared" si="15"/>
        <v>19</v>
      </c>
      <c r="H38" s="646">
        <f t="shared" si="16"/>
        <v>1236</v>
      </c>
      <c r="I38" s="646">
        <f t="shared" si="17"/>
        <v>1563</v>
      </c>
      <c r="J38" s="649">
        <f>변경집계!$G11</f>
        <v>7</v>
      </c>
      <c r="K38" s="699">
        <f>변경집계!$H11</f>
        <v>11</v>
      </c>
      <c r="L38" s="651">
        <f>변경집계!$J11</f>
        <v>926</v>
      </c>
      <c r="M38" s="700">
        <f>변경집계!$K11</f>
        <v>1004</v>
      </c>
      <c r="N38" s="649">
        <f>변경집계!$G34</f>
        <v>6</v>
      </c>
      <c r="O38" s="699">
        <f>변경집계!$H34</f>
        <v>8</v>
      </c>
      <c r="P38" s="651">
        <f>변경집계!$J34</f>
        <v>310</v>
      </c>
      <c r="Q38" s="700">
        <f>변경집계!$K34</f>
        <v>559</v>
      </c>
      <c r="R38" s="642">
        <f>변경집계!G57</f>
        <v>0</v>
      </c>
      <c r="S38" s="643">
        <f>변경집계!H57</f>
        <v>0</v>
      </c>
      <c r="T38" s="646">
        <f>변경집계!J57</f>
        <v>0</v>
      </c>
      <c r="U38" s="698">
        <f>변경집계!K57</f>
        <v>0</v>
      </c>
      <c r="V38" s="674">
        <f t="shared" si="9"/>
        <v>327</v>
      </c>
    </row>
    <row r="39" spans="1:22" s="7" customFormat="1" ht="29.1" customHeight="1" x14ac:dyDescent="0.15">
      <c r="A39" s="657" t="s">
        <v>32</v>
      </c>
      <c r="B39" s="642">
        <f t="shared" si="10"/>
        <v>7</v>
      </c>
      <c r="C39" s="643">
        <f t="shared" si="11"/>
        <v>8</v>
      </c>
      <c r="D39" s="644">
        <f t="shared" si="12"/>
        <v>6690</v>
      </c>
      <c r="E39" s="645">
        <f t="shared" si="13"/>
        <v>6643</v>
      </c>
      <c r="F39" s="642">
        <f t="shared" si="14"/>
        <v>7</v>
      </c>
      <c r="G39" s="642">
        <f t="shared" si="15"/>
        <v>8</v>
      </c>
      <c r="H39" s="646">
        <f t="shared" si="16"/>
        <v>6690</v>
      </c>
      <c r="I39" s="646">
        <f t="shared" si="17"/>
        <v>6643</v>
      </c>
      <c r="J39" s="649">
        <f>변경집계!$G12</f>
        <v>1</v>
      </c>
      <c r="K39" s="699">
        <f>변경집계!$H12</f>
        <v>1</v>
      </c>
      <c r="L39" s="651">
        <f>변경집계!$J12</f>
        <v>1084</v>
      </c>
      <c r="M39" s="700">
        <f>변경집계!$K12</f>
        <v>1084</v>
      </c>
      <c r="N39" s="649">
        <f>변경집계!$G35</f>
        <v>6</v>
      </c>
      <c r="O39" s="699">
        <f>변경집계!$H35</f>
        <v>7</v>
      </c>
      <c r="P39" s="651">
        <f>변경집계!$J35</f>
        <v>5606</v>
      </c>
      <c r="Q39" s="700">
        <f>변경집계!$K35</f>
        <v>5559</v>
      </c>
      <c r="R39" s="642">
        <f>변경집계!G58</f>
        <v>0</v>
      </c>
      <c r="S39" s="643">
        <f>변경집계!H58</f>
        <v>0</v>
      </c>
      <c r="T39" s="646">
        <f>변경집계!J58</f>
        <v>0</v>
      </c>
      <c r="U39" s="698">
        <f>변경집계!K58</f>
        <v>0</v>
      </c>
      <c r="V39" s="674">
        <f t="shared" si="9"/>
        <v>-47</v>
      </c>
    </row>
    <row r="40" spans="1:22" s="7" customFormat="1" ht="29.1" customHeight="1" x14ac:dyDescent="0.15">
      <c r="A40" s="657" t="s">
        <v>33</v>
      </c>
      <c r="B40" s="642">
        <f t="shared" si="10"/>
        <v>2</v>
      </c>
      <c r="C40" s="643">
        <f t="shared" si="11"/>
        <v>3</v>
      </c>
      <c r="D40" s="644">
        <f t="shared" si="12"/>
        <v>74</v>
      </c>
      <c r="E40" s="645">
        <f t="shared" si="13"/>
        <v>267</v>
      </c>
      <c r="F40" s="642">
        <f t="shared" si="14"/>
        <v>2</v>
      </c>
      <c r="G40" s="642">
        <f t="shared" si="15"/>
        <v>3</v>
      </c>
      <c r="H40" s="646">
        <f t="shared" si="16"/>
        <v>74</v>
      </c>
      <c r="I40" s="646">
        <f t="shared" si="17"/>
        <v>267</v>
      </c>
      <c r="J40" s="649">
        <f>변경집계!$G13</f>
        <v>0</v>
      </c>
      <c r="K40" s="699">
        <f>변경집계!$H13</f>
        <v>1</v>
      </c>
      <c r="L40" s="651">
        <f>변경집계!$J13</f>
        <v>0</v>
      </c>
      <c r="M40" s="700">
        <f>변경집계!$K13</f>
        <v>193</v>
      </c>
      <c r="N40" s="649">
        <f>변경집계!$G36</f>
        <v>1</v>
      </c>
      <c r="O40" s="699">
        <f>변경집계!$H36</f>
        <v>1</v>
      </c>
      <c r="P40" s="651">
        <f>변경집계!$J36</f>
        <v>68</v>
      </c>
      <c r="Q40" s="700">
        <f>변경집계!$K36</f>
        <v>68</v>
      </c>
      <c r="R40" s="642">
        <f>변경집계!G59</f>
        <v>1</v>
      </c>
      <c r="S40" s="643">
        <f>변경집계!H59</f>
        <v>1</v>
      </c>
      <c r="T40" s="646">
        <f>변경집계!J59</f>
        <v>6</v>
      </c>
      <c r="U40" s="698">
        <f>변경집계!K59</f>
        <v>6</v>
      </c>
      <c r="V40" s="674">
        <f t="shared" si="9"/>
        <v>193</v>
      </c>
    </row>
    <row r="41" spans="1:22" s="7" customFormat="1" ht="29.1" hidden="1" customHeight="1" x14ac:dyDescent="0.15">
      <c r="A41" s="657" t="s">
        <v>34</v>
      </c>
      <c r="B41" s="642">
        <f t="shared" si="10"/>
        <v>0</v>
      </c>
      <c r="C41" s="643">
        <f t="shared" si="11"/>
        <v>0</v>
      </c>
      <c r="D41" s="644">
        <f t="shared" si="12"/>
        <v>0</v>
      </c>
      <c r="E41" s="645">
        <f t="shared" si="13"/>
        <v>0</v>
      </c>
      <c r="F41" s="642">
        <f t="shared" si="14"/>
        <v>0</v>
      </c>
      <c r="G41" s="642">
        <f t="shared" si="15"/>
        <v>0</v>
      </c>
      <c r="H41" s="646">
        <f t="shared" si="16"/>
        <v>0</v>
      </c>
      <c r="I41" s="646">
        <f t="shared" si="17"/>
        <v>0</v>
      </c>
      <c r="J41" s="649">
        <f>변경집계!$G14</f>
        <v>0</v>
      </c>
      <c r="K41" s="699">
        <f>변경집계!$H14</f>
        <v>0</v>
      </c>
      <c r="L41" s="651">
        <f>변경집계!$J14</f>
        <v>0</v>
      </c>
      <c r="M41" s="700">
        <f>변경집계!$K14</f>
        <v>0</v>
      </c>
      <c r="N41" s="649">
        <f>변경집계!$G37</f>
        <v>0</v>
      </c>
      <c r="O41" s="699">
        <f>변경집계!$H37</f>
        <v>0</v>
      </c>
      <c r="P41" s="651">
        <f>변경집계!$J37</f>
        <v>0</v>
      </c>
      <c r="Q41" s="700">
        <f>변경집계!$K37</f>
        <v>0</v>
      </c>
      <c r="R41" s="642">
        <f>변경집계!G60</f>
        <v>0</v>
      </c>
      <c r="S41" s="643">
        <f>변경집계!H60</f>
        <v>0</v>
      </c>
      <c r="T41" s="646">
        <f>변경집계!J60</f>
        <v>0</v>
      </c>
      <c r="U41" s="698">
        <f>변경집계!K60</f>
        <v>0</v>
      </c>
      <c r="V41" s="674">
        <f t="shared" si="9"/>
        <v>0</v>
      </c>
    </row>
    <row r="42" spans="1:22" s="7" customFormat="1" ht="29.1" hidden="1" customHeight="1" x14ac:dyDescent="0.15">
      <c r="A42" s="657" t="s">
        <v>15</v>
      </c>
      <c r="B42" s="642">
        <f t="shared" si="10"/>
        <v>0</v>
      </c>
      <c r="C42" s="643">
        <f t="shared" si="11"/>
        <v>0</v>
      </c>
      <c r="D42" s="644">
        <f t="shared" si="12"/>
        <v>0</v>
      </c>
      <c r="E42" s="645">
        <f t="shared" si="13"/>
        <v>0</v>
      </c>
      <c r="F42" s="642">
        <f t="shared" si="14"/>
        <v>0</v>
      </c>
      <c r="G42" s="642">
        <f t="shared" si="15"/>
        <v>0</v>
      </c>
      <c r="H42" s="646">
        <f t="shared" si="16"/>
        <v>0</v>
      </c>
      <c r="I42" s="646">
        <f t="shared" si="17"/>
        <v>0</v>
      </c>
      <c r="J42" s="649">
        <f>변경집계!$G15</f>
        <v>0</v>
      </c>
      <c r="K42" s="699">
        <f>변경집계!$H15</f>
        <v>0</v>
      </c>
      <c r="L42" s="651">
        <f>변경집계!$J15</f>
        <v>0</v>
      </c>
      <c r="M42" s="700">
        <f>변경집계!$K15</f>
        <v>0</v>
      </c>
      <c r="N42" s="649">
        <f>변경집계!$G38</f>
        <v>0</v>
      </c>
      <c r="O42" s="699">
        <f>변경집계!$H38</f>
        <v>0</v>
      </c>
      <c r="P42" s="651">
        <f>변경집계!$J38</f>
        <v>0</v>
      </c>
      <c r="Q42" s="700">
        <f>변경집계!$K38</f>
        <v>0</v>
      </c>
      <c r="R42" s="642">
        <f>변경집계!G61</f>
        <v>0</v>
      </c>
      <c r="S42" s="643">
        <f>변경집계!H61</f>
        <v>0</v>
      </c>
      <c r="T42" s="646">
        <f>변경집계!J61</f>
        <v>0</v>
      </c>
      <c r="U42" s="698">
        <f>변경집계!K61</f>
        <v>0</v>
      </c>
      <c r="V42" s="674">
        <f t="shared" si="9"/>
        <v>0</v>
      </c>
    </row>
    <row r="43" spans="1:22" s="7" customFormat="1" ht="29.1" customHeight="1" x14ac:dyDescent="0.15">
      <c r="A43" s="657" t="s">
        <v>35</v>
      </c>
      <c r="B43" s="642">
        <f t="shared" si="10"/>
        <v>0</v>
      </c>
      <c r="C43" s="643">
        <f t="shared" si="11"/>
        <v>1</v>
      </c>
      <c r="D43" s="644">
        <f t="shared" si="12"/>
        <v>0</v>
      </c>
      <c r="E43" s="645">
        <f t="shared" si="13"/>
        <v>124</v>
      </c>
      <c r="F43" s="642">
        <f t="shared" si="14"/>
        <v>0</v>
      </c>
      <c r="G43" s="642">
        <f t="shared" si="15"/>
        <v>1</v>
      </c>
      <c r="H43" s="646">
        <f t="shared" si="16"/>
        <v>0</v>
      </c>
      <c r="I43" s="646">
        <f t="shared" si="17"/>
        <v>124</v>
      </c>
      <c r="J43" s="649">
        <f>변경집계!$G16</f>
        <v>0</v>
      </c>
      <c r="K43" s="699">
        <f>변경집계!$H16</f>
        <v>0</v>
      </c>
      <c r="L43" s="651">
        <f>변경집계!$J16</f>
        <v>0</v>
      </c>
      <c r="M43" s="700">
        <f>변경집계!$K16</f>
        <v>0</v>
      </c>
      <c r="N43" s="649">
        <f>변경집계!$G39</f>
        <v>0</v>
      </c>
      <c r="O43" s="699">
        <f>변경집계!$H39</f>
        <v>1</v>
      </c>
      <c r="P43" s="651">
        <f>변경집계!$J39</f>
        <v>0</v>
      </c>
      <c r="Q43" s="700">
        <f>변경집계!$K39</f>
        <v>124</v>
      </c>
      <c r="R43" s="642">
        <f>변경집계!G62</f>
        <v>0</v>
      </c>
      <c r="S43" s="643">
        <f>변경집계!H62</f>
        <v>0</v>
      </c>
      <c r="T43" s="646">
        <f>변경집계!J62</f>
        <v>0</v>
      </c>
      <c r="U43" s="698">
        <f>변경집계!K62</f>
        <v>0</v>
      </c>
      <c r="V43" s="674">
        <f t="shared" si="9"/>
        <v>124</v>
      </c>
    </row>
    <row r="44" spans="1:22" s="7" customFormat="1" ht="29.1" hidden="1" customHeight="1" x14ac:dyDescent="0.15">
      <c r="A44" s="657" t="s">
        <v>36</v>
      </c>
      <c r="B44" s="642">
        <f t="shared" si="10"/>
        <v>0</v>
      </c>
      <c r="C44" s="643">
        <f t="shared" si="11"/>
        <v>0</v>
      </c>
      <c r="D44" s="644">
        <f t="shared" si="12"/>
        <v>0</v>
      </c>
      <c r="E44" s="645">
        <f t="shared" si="13"/>
        <v>0</v>
      </c>
      <c r="F44" s="642">
        <f t="shared" si="14"/>
        <v>0</v>
      </c>
      <c r="G44" s="642">
        <f t="shared" si="15"/>
        <v>0</v>
      </c>
      <c r="H44" s="646">
        <f t="shared" si="16"/>
        <v>0</v>
      </c>
      <c r="I44" s="646">
        <f t="shared" si="17"/>
        <v>0</v>
      </c>
      <c r="J44" s="649">
        <f>변경집계!$G17</f>
        <v>0</v>
      </c>
      <c r="K44" s="699">
        <f>변경집계!$H17</f>
        <v>0</v>
      </c>
      <c r="L44" s="651">
        <f>변경집계!$J17</f>
        <v>0</v>
      </c>
      <c r="M44" s="700">
        <f>변경집계!$K17</f>
        <v>0</v>
      </c>
      <c r="N44" s="649">
        <f>변경집계!$G40</f>
        <v>0</v>
      </c>
      <c r="O44" s="699">
        <f>변경집계!$H40</f>
        <v>0</v>
      </c>
      <c r="P44" s="651">
        <f>변경집계!$J40</f>
        <v>0</v>
      </c>
      <c r="Q44" s="700">
        <f>변경집계!$K40</f>
        <v>0</v>
      </c>
      <c r="R44" s="642">
        <f>변경집계!G63</f>
        <v>0</v>
      </c>
      <c r="S44" s="643">
        <f>변경집계!H63</f>
        <v>0</v>
      </c>
      <c r="T44" s="646">
        <f>변경집계!J63</f>
        <v>0</v>
      </c>
      <c r="U44" s="698">
        <f>변경집계!K63</f>
        <v>0</v>
      </c>
      <c r="V44" s="674">
        <f t="shared" si="9"/>
        <v>0</v>
      </c>
    </row>
    <row r="45" spans="1:22" s="7" customFormat="1" ht="29.1" customHeight="1" x14ac:dyDescent="0.15">
      <c r="A45" s="657" t="s">
        <v>218</v>
      </c>
      <c r="B45" s="642">
        <f t="shared" si="10"/>
        <v>0</v>
      </c>
      <c r="C45" s="643">
        <f t="shared" si="11"/>
        <v>1</v>
      </c>
      <c r="D45" s="644">
        <f t="shared" si="12"/>
        <v>0</v>
      </c>
      <c r="E45" s="645">
        <f t="shared" si="13"/>
        <v>285</v>
      </c>
      <c r="F45" s="642">
        <f t="shared" si="14"/>
        <v>0</v>
      </c>
      <c r="G45" s="642">
        <f t="shared" si="15"/>
        <v>1</v>
      </c>
      <c r="H45" s="646">
        <f t="shared" si="16"/>
        <v>0</v>
      </c>
      <c r="I45" s="646">
        <f t="shared" si="17"/>
        <v>285</v>
      </c>
      <c r="J45" s="649">
        <f>변경집계!$G18</f>
        <v>0</v>
      </c>
      <c r="K45" s="699">
        <f>변경집계!$H18</f>
        <v>0</v>
      </c>
      <c r="L45" s="651">
        <f>변경집계!$J18</f>
        <v>0</v>
      </c>
      <c r="M45" s="700">
        <f>변경집계!$K18</f>
        <v>0</v>
      </c>
      <c r="N45" s="649">
        <f>변경집계!$G41</f>
        <v>0</v>
      </c>
      <c r="O45" s="699">
        <f>변경집계!$H41</f>
        <v>1</v>
      </c>
      <c r="P45" s="651">
        <f>변경집계!$J41</f>
        <v>0</v>
      </c>
      <c r="Q45" s="700">
        <f>변경집계!$K41</f>
        <v>285</v>
      </c>
      <c r="R45" s="642">
        <f>변경집계!G64</f>
        <v>0</v>
      </c>
      <c r="S45" s="643">
        <f>변경집계!H64</f>
        <v>0</v>
      </c>
      <c r="T45" s="646">
        <f>변경집계!J64</f>
        <v>0</v>
      </c>
      <c r="U45" s="698">
        <f>변경집계!K64</f>
        <v>0</v>
      </c>
      <c r="V45" s="674">
        <f t="shared" si="9"/>
        <v>285</v>
      </c>
    </row>
    <row r="46" spans="1:22" s="7" customFormat="1" ht="29.1" customHeight="1" x14ac:dyDescent="0.15">
      <c r="A46" s="657" t="s">
        <v>2</v>
      </c>
      <c r="B46" s="642">
        <f t="shared" si="10"/>
        <v>0</v>
      </c>
      <c r="C46" s="643">
        <f t="shared" si="11"/>
        <v>2</v>
      </c>
      <c r="D46" s="644">
        <f t="shared" si="12"/>
        <v>0</v>
      </c>
      <c r="E46" s="645">
        <f t="shared" si="13"/>
        <v>314</v>
      </c>
      <c r="F46" s="642">
        <f t="shared" si="14"/>
        <v>0</v>
      </c>
      <c r="G46" s="642">
        <f t="shared" si="15"/>
        <v>2</v>
      </c>
      <c r="H46" s="646">
        <f t="shared" si="16"/>
        <v>0</v>
      </c>
      <c r="I46" s="646">
        <f t="shared" si="17"/>
        <v>314</v>
      </c>
      <c r="J46" s="649">
        <f>변경집계!$G19</f>
        <v>0</v>
      </c>
      <c r="K46" s="699">
        <f>변경집계!$H19</f>
        <v>0</v>
      </c>
      <c r="L46" s="651">
        <f>변경집계!$J19</f>
        <v>0</v>
      </c>
      <c r="M46" s="700">
        <f>변경집계!$K19</f>
        <v>0</v>
      </c>
      <c r="N46" s="649">
        <f>변경집계!$G42</f>
        <v>0</v>
      </c>
      <c r="O46" s="699">
        <f>변경집계!$H42</f>
        <v>2</v>
      </c>
      <c r="P46" s="651">
        <f>변경집계!$J42</f>
        <v>0</v>
      </c>
      <c r="Q46" s="700">
        <f>변경집계!$K42</f>
        <v>314</v>
      </c>
      <c r="R46" s="642">
        <f>변경집계!G65</f>
        <v>0</v>
      </c>
      <c r="S46" s="643">
        <f>변경집계!H65</f>
        <v>0</v>
      </c>
      <c r="T46" s="646">
        <f>변경집계!J65</f>
        <v>0</v>
      </c>
      <c r="U46" s="698">
        <f>변경집계!K65</f>
        <v>0</v>
      </c>
      <c r="V46" s="674">
        <f t="shared" si="9"/>
        <v>314</v>
      </c>
    </row>
    <row r="47" spans="1:22" s="7" customFormat="1" ht="29.1" customHeight="1" thickBot="1" x14ac:dyDescent="0.2">
      <c r="A47" s="658" t="s">
        <v>5</v>
      </c>
      <c r="B47" s="675">
        <f t="shared" si="10"/>
        <v>0</v>
      </c>
      <c r="C47" s="676">
        <f t="shared" si="11"/>
        <v>4</v>
      </c>
      <c r="D47" s="677">
        <f t="shared" si="12"/>
        <v>0</v>
      </c>
      <c r="E47" s="678">
        <f t="shared" si="13"/>
        <v>275</v>
      </c>
      <c r="F47" s="675">
        <f t="shared" si="14"/>
        <v>0</v>
      </c>
      <c r="G47" s="675">
        <f t="shared" si="15"/>
        <v>4</v>
      </c>
      <c r="H47" s="679">
        <f t="shared" si="16"/>
        <v>0</v>
      </c>
      <c r="I47" s="679">
        <f t="shared" si="17"/>
        <v>275</v>
      </c>
      <c r="J47" s="680">
        <f>변경집계!$G20</f>
        <v>0</v>
      </c>
      <c r="K47" s="701">
        <f>변경집계!$H20</f>
        <v>1</v>
      </c>
      <c r="L47" s="682">
        <f>변경집계!$J20</f>
        <v>0</v>
      </c>
      <c r="M47" s="702">
        <f>변경집계!$K20</f>
        <v>42</v>
      </c>
      <c r="N47" s="680">
        <f>변경집계!$G43</f>
        <v>0</v>
      </c>
      <c r="O47" s="701">
        <f>변경집계!$H43</f>
        <v>3</v>
      </c>
      <c r="P47" s="682">
        <f>변경집계!$J43</f>
        <v>0</v>
      </c>
      <c r="Q47" s="702">
        <f>변경집계!$K43</f>
        <v>233</v>
      </c>
      <c r="R47" s="675">
        <f>변경집계!G66</f>
        <v>0</v>
      </c>
      <c r="S47" s="676">
        <f>변경집계!H66</f>
        <v>0</v>
      </c>
      <c r="T47" s="679">
        <f>변경집계!J66</f>
        <v>0</v>
      </c>
      <c r="U47" s="703">
        <f>변경집계!K66</f>
        <v>0</v>
      </c>
      <c r="V47" s="684">
        <f t="shared" si="9"/>
        <v>275</v>
      </c>
    </row>
    <row r="48" spans="1:22" s="7" customFormat="1" ht="29.1" hidden="1" customHeight="1" x14ac:dyDescent="0.15">
      <c r="A48" s="685" t="s">
        <v>193</v>
      </c>
      <c r="B48" s="686">
        <f t="shared" si="10"/>
        <v>0</v>
      </c>
      <c r="C48" s="687">
        <f t="shared" si="11"/>
        <v>0</v>
      </c>
      <c r="D48" s="688">
        <f t="shared" si="12"/>
        <v>0</v>
      </c>
      <c r="E48" s="689">
        <f t="shared" si="13"/>
        <v>0</v>
      </c>
      <c r="F48" s="686">
        <f t="shared" si="14"/>
        <v>0</v>
      </c>
      <c r="G48" s="686">
        <f t="shared" si="15"/>
        <v>0</v>
      </c>
      <c r="H48" s="690">
        <f t="shared" si="16"/>
        <v>0</v>
      </c>
      <c r="I48" s="690">
        <f t="shared" si="17"/>
        <v>0</v>
      </c>
      <c r="J48" s="691">
        <f>변경집계!$G21</f>
        <v>0</v>
      </c>
      <c r="K48" s="692">
        <f>변경집계!$H21</f>
        <v>0</v>
      </c>
      <c r="L48" s="693">
        <f>변경집계!$J21</f>
        <v>0</v>
      </c>
      <c r="M48" s="694">
        <f>변경집계!$K21</f>
        <v>0</v>
      </c>
      <c r="N48" s="691">
        <f>변경집계!$G44</f>
        <v>0</v>
      </c>
      <c r="O48" s="692">
        <f>변경집계!$H44</f>
        <v>0</v>
      </c>
      <c r="P48" s="693">
        <f>변경집계!$J44</f>
        <v>0</v>
      </c>
      <c r="Q48" s="694">
        <f>변경집계!$K44</f>
        <v>0</v>
      </c>
      <c r="R48" s="686">
        <f>변경집계!G67</f>
        <v>0</v>
      </c>
      <c r="S48" s="695">
        <f>변경집계!H67</f>
        <v>0</v>
      </c>
      <c r="T48" s="690">
        <f>변경집계!J67</f>
        <v>0</v>
      </c>
      <c r="U48" s="696">
        <f>변경집계!K67</f>
        <v>0</v>
      </c>
      <c r="V48" s="697">
        <f t="shared" si="9"/>
        <v>0</v>
      </c>
    </row>
    <row r="49" spans="1:22" s="7" customFormat="1" ht="29.1" hidden="1" customHeight="1" x14ac:dyDescent="0.15">
      <c r="A49" s="640" t="s">
        <v>40</v>
      </c>
      <c r="B49" s="404">
        <f t="shared" si="10"/>
        <v>0</v>
      </c>
      <c r="C49" s="405">
        <f t="shared" si="11"/>
        <v>0</v>
      </c>
      <c r="D49" s="406">
        <f t="shared" si="12"/>
        <v>0</v>
      </c>
      <c r="E49" s="407">
        <f t="shared" si="13"/>
        <v>0</v>
      </c>
      <c r="F49" s="404">
        <f t="shared" si="14"/>
        <v>0</v>
      </c>
      <c r="G49" s="404">
        <f t="shared" si="15"/>
        <v>0</v>
      </c>
      <c r="H49" s="408">
        <f t="shared" si="16"/>
        <v>0</v>
      </c>
      <c r="I49" s="408">
        <f t="shared" si="17"/>
        <v>0</v>
      </c>
      <c r="J49" s="409">
        <f>변경집계!$G22</f>
        <v>0</v>
      </c>
      <c r="K49" s="415">
        <f>변경집계!$H22</f>
        <v>0</v>
      </c>
      <c r="L49" s="410">
        <f>변경집계!$J22</f>
        <v>0</v>
      </c>
      <c r="M49" s="416">
        <f>변경집계!$K22</f>
        <v>0</v>
      </c>
      <c r="N49" s="409">
        <f>변경집계!$G45</f>
        <v>0</v>
      </c>
      <c r="O49" s="415">
        <f>변경집계!$H45</f>
        <v>0</v>
      </c>
      <c r="P49" s="410">
        <f>변경집계!$J45</f>
        <v>0</v>
      </c>
      <c r="Q49" s="416">
        <f>변경집계!$K45</f>
        <v>0</v>
      </c>
      <c r="R49" s="404">
        <f>변경집계!G68</f>
        <v>0</v>
      </c>
      <c r="S49" s="413">
        <f>변경집계!H68</f>
        <v>0</v>
      </c>
      <c r="T49" s="408">
        <f>변경집계!J68</f>
        <v>0</v>
      </c>
      <c r="U49" s="414">
        <f>변경집계!K68</f>
        <v>0</v>
      </c>
      <c r="V49" s="411">
        <f t="shared" si="9"/>
        <v>0</v>
      </c>
    </row>
    <row r="50" spans="1:22" s="7" customFormat="1" ht="29.1" hidden="1" customHeight="1" thickBot="1" x14ac:dyDescent="0.2">
      <c r="A50" s="641" t="s">
        <v>16</v>
      </c>
      <c r="B50" s="404">
        <f>J50+N50+R50</f>
        <v>0</v>
      </c>
      <c r="C50" s="405">
        <f>K50+O50+S50</f>
        <v>0</v>
      </c>
      <c r="D50" s="406">
        <f>L50+P50+T50</f>
        <v>0</v>
      </c>
      <c r="E50" s="407">
        <f>M50+Q50+U50</f>
        <v>0</v>
      </c>
      <c r="F50" s="404">
        <f t="shared" si="14"/>
        <v>0</v>
      </c>
      <c r="G50" s="404">
        <f t="shared" si="15"/>
        <v>0</v>
      </c>
      <c r="H50" s="408">
        <f t="shared" si="16"/>
        <v>0</v>
      </c>
      <c r="I50" s="408">
        <f t="shared" si="17"/>
        <v>0</v>
      </c>
      <c r="J50" s="412">
        <f>변경집계!$G23</f>
        <v>0</v>
      </c>
      <c r="K50" s="415">
        <f>변경집계!$H23</f>
        <v>0</v>
      </c>
      <c r="L50" s="410">
        <f>변경집계!$J23</f>
        <v>0</v>
      </c>
      <c r="M50" s="416">
        <f>변경집계!$K23</f>
        <v>0</v>
      </c>
      <c r="N50" s="409">
        <f>변경집계!$G46</f>
        <v>0</v>
      </c>
      <c r="O50" s="415">
        <f>변경집계!$H46</f>
        <v>0</v>
      </c>
      <c r="P50" s="410">
        <f>변경집계!$J46</f>
        <v>0</v>
      </c>
      <c r="Q50" s="416">
        <f>변경집계!$K46</f>
        <v>0</v>
      </c>
      <c r="R50" s="404">
        <f>변경집계!G69</f>
        <v>0</v>
      </c>
      <c r="S50" s="413">
        <f>변경집계!H69</f>
        <v>0</v>
      </c>
      <c r="T50" s="408">
        <f>변경집계!J69</f>
        <v>0</v>
      </c>
      <c r="U50" s="414">
        <f>변경집계!K69</f>
        <v>0</v>
      </c>
      <c r="V50" s="411">
        <f t="shared" si="9"/>
        <v>0</v>
      </c>
    </row>
    <row r="51" spans="1:22" s="2" customFormat="1" ht="32.1" customHeight="1" x14ac:dyDescent="0.15">
      <c r="A51" s="1062" t="s">
        <v>97</v>
      </c>
      <c r="B51" s="1062"/>
      <c r="C51" s="1062"/>
      <c r="D51" s="1062"/>
      <c r="E51" s="1062"/>
      <c r="F51" s="1062"/>
      <c r="G51" s="1062"/>
      <c r="H51" s="1062"/>
      <c r="I51" s="1062"/>
      <c r="J51" s="1062"/>
      <c r="K51" s="1062"/>
      <c r="L51" s="1062"/>
      <c r="M51" s="1062"/>
      <c r="N51" s="1062"/>
      <c r="O51" s="1062"/>
      <c r="P51" s="1062"/>
      <c r="Q51" s="1062"/>
      <c r="R51" s="1062"/>
      <c r="S51" s="1062"/>
      <c r="T51" s="1062"/>
      <c r="U51" s="1062"/>
      <c r="V51" s="1062"/>
    </row>
    <row r="52" spans="1:22" s="2" customFormat="1" ht="15" customHeight="1" thickBot="1" x14ac:dyDescent="0.2">
      <c r="A52" s="48"/>
      <c r="Q52" s="3"/>
      <c r="V52" s="45"/>
    </row>
    <row r="53" spans="1:22" ht="20.100000000000001" customHeight="1" x14ac:dyDescent="0.15">
      <c r="A53" s="1054" t="s">
        <v>23</v>
      </c>
      <c r="B53" s="1047" t="s">
        <v>17</v>
      </c>
      <c r="C53" s="1047"/>
      <c r="D53" s="1047"/>
      <c r="E53" s="1047"/>
      <c r="F53" s="1063" t="s">
        <v>4</v>
      </c>
      <c r="G53" s="1063"/>
      <c r="H53" s="1063"/>
      <c r="I53" s="1063"/>
      <c r="J53" s="1059" t="s">
        <v>225</v>
      </c>
      <c r="K53" s="1060"/>
      <c r="L53" s="1060"/>
      <c r="M53" s="1060"/>
      <c r="N53" s="1060"/>
      <c r="O53" s="1060"/>
      <c r="P53" s="1060"/>
      <c r="Q53" s="1060"/>
      <c r="R53" s="1060"/>
      <c r="S53" s="1060"/>
      <c r="T53" s="1060"/>
      <c r="U53" s="1061"/>
      <c r="V53" s="1057" t="s">
        <v>98</v>
      </c>
    </row>
    <row r="54" spans="1:22" ht="20.100000000000001" customHeight="1" x14ac:dyDescent="0.15">
      <c r="A54" s="1055"/>
      <c r="B54" s="1048"/>
      <c r="C54" s="1048"/>
      <c r="D54" s="1048"/>
      <c r="E54" s="1048"/>
      <c r="F54" s="1045"/>
      <c r="G54" s="1045"/>
      <c r="H54" s="1045"/>
      <c r="I54" s="1045"/>
      <c r="J54" s="1050" t="s">
        <v>226</v>
      </c>
      <c r="K54" s="1051"/>
      <c r="L54" s="1051"/>
      <c r="M54" s="1051"/>
      <c r="N54" s="1051"/>
      <c r="O54" s="1051"/>
      <c r="P54" s="1051"/>
      <c r="Q54" s="1051"/>
      <c r="R54" s="1051"/>
      <c r="S54" s="1051"/>
      <c r="T54" s="1051"/>
      <c r="U54" s="1052"/>
      <c r="V54" s="1058"/>
    </row>
    <row r="55" spans="1:22" ht="20.100000000000001" customHeight="1" x14ac:dyDescent="0.15">
      <c r="A55" s="1055"/>
      <c r="B55" s="1049"/>
      <c r="C55" s="1049"/>
      <c r="D55" s="1049"/>
      <c r="E55" s="1049"/>
      <c r="F55" s="1048" t="s">
        <v>3</v>
      </c>
      <c r="G55" s="1048"/>
      <c r="H55" s="1048"/>
      <c r="I55" s="1048"/>
      <c r="J55" s="1048" t="s">
        <v>227</v>
      </c>
      <c r="K55" s="1048"/>
      <c r="L55" s="1048"/>
      <c r="M55" s="1048"/>
      <c r="N55" s="1048" t="s">
        <v>228</v>
      </c>
      <c r="O55" s="1048"/>
      <c r="P55" s="1048"/>
      <c r="Q55" s="1048"/>
      <c r="R55" s="1048" t="s">
        <v>229</v>
      </c>
      <c r="S55" s="1049"/>
      <c r="T55" s="1049"/>
      <c r="U55" s="1049"/>
      <c r="V55" s="1058"/>
    </row>
    <row r="56" spans="1:22" ht="20.100000000000001" customHeight="1" x14ac:dyDescent="0.15">
      <c r="A56" s="1055"/>
      <c r="B56" s="656" t="s">
        <v>42</v>
      </c>
      <c r="C56" s="656"/>
      <c r="D56" s="1049" t="s">
        <v>64</v>
      </c>
      <c r="E56" s="1049"/>
      <c r="F56" s="656" t="s">
        <v>42</v>
      </c>
      <c r="G56" s="656"/>
      <c r="H56" s="1049" t="s">
        <v>64</v>
      </c>
      <c r="I56" s="1049"/>
      <c r="J56" s="656" t="s">
        <v>42</v>
      </c>
      <c r="K56" s="656"/>
      <c r="L56" s="1049" t="s">
        <v>64</v>
      </c>
      <c r="M56" s="1049"/>
      <c r="N56" s="656" t="s">
        <v>42</v>
      </c>
      <c r="O56" s="656"/>
      <c r="P56" s="1049" t="s">
        <v>64</v>
      </c>
      <c r="Q56" s="1049"/>
      <c r="R56" s="656" t="s">
        <v>42</v>
      </c>
      <c r="S56" s="656"/>
      <c r="T56" s="1049" t="s">
        <v>64</v>
      </c>
      <c r="U56" s="1049"/>
      <c r="V56" s="1058"/>
    </row>
    <row r="57" spans="1:22" ht="20.100000000000001" customHeight="1" x14ac:dyDescent="0.15">
      <c r="A57" s="1055"/>
      <c r="B57" s="654" t="s">
        <v>58</v>
      </c>
      <c r="C57" s="654" t="s">
        <v>59</v>
      </c>
      <c r="D57" s="654" t="s">
        <v>58</v>
      </c>
      <c r="E57" s="654" t="s">
        <v>60</v>
      </c>
      <c r="F57" s="654" t="s">
        <v>58</v>
      </c>
      <c r="G57" s="654" t="s">
        <v>59</v>
      </c>
      <c r="H57" s="654" t="s">
        <v>58</v>
      </c>
      <c r="I57" s="654" t="s">
        <v>60</v>
      </c>
      <c r="J57" s="654" t="s">
        <v>58</v>
      </c>
      <c r="K57" s="654" t="s">
        <v>59</v>
      </c>
      <c r="L57" s="654" t="s">
        <v>58</v>
      </c>
      <c r="M57" s="654" t="s">
        <v>60</v>
      </c>
      <c r="N57" s="654" t="s">
        <v>58</v>
      </c>
      <c r="O57" s="654" t="s">
        <v>59</v>
      </c>
      <c r="P57" s="654" t="s">
        <v>58</v>
      </c>
      <c r="Q57" s="654" t="s">
        <v>60</v>
      </c>
      <c r="R57" s="654" t="s">
        <v>58</v>
      </c>
      <c r="S57" s="654" t="s">
        <v>59</v>
      </c>
      <c r="T57" s="654" t="s">
        <v>58</v>
      </c>
      <c r="U57" s="654" t="s">
        <v>60</v>
      </c>
      <c r="V57" s="1058"/>
    </row>
    <row r="58" spans="1:22" s="50" customFormat="1" ht="29.1" customHeight="1" x14ac:dyDescent="0.15">
      <c r="A58" s="672" t="s">
        <v>24</v>
      </c>
      <c r="B58" s="642">
        <f>J58+N58+R58</f>
        <v>185</v>
      </c>
      <c r="C58" s="643">
        <f>K58+O58+S58</f>
        <v>0</v>
      </c>
      <c r="D58" s="644">
        <f>L58+P58+T58</f>
        <v>78308</v>
      </c>
      <c r="E58" s="645">
        <f>M58+Q58+U58</f>
        <v>0</v>
      </c>
      <c r="F58" s="642">
        <f>J58+N58+R58</f>
        <v>185</v>
      </c>
      <c r="G58" s="642">
        <f>K58+O58+S58</f>
        <v>0</v>
      </c>
      <c r="H58" s="646">
        <f>L58+P58+T58</f>
        <v>78308</v>
      </c>
      <c r="I58" s="646">
        <f>M58+Q58+U58</f>
        <v>0</v>
      </c>
      <c r="J58" s="642">
        <f>변경집계!$L6</f>
        <v>74</v>
      </c>
      <c r="K58" s="643">
        <f>변경집계!$M6</f>
        <v>0</v>
      </c>
      <c r="L58" s="646">
        <f>변경집계!$O6</f>
        <v>26793</v>
      </c>
      <c r="M58" s="698">
        <f>변경집계!$P6</f>
        <v>0</v>
      </c>
      <c r="N58" s="642">
        <f>변경집계!$L29</f>
        <v>111</v>
      </c>
      <c r="O58" s="643">
        <f>변경집계!$M29</f>
        <v>0</v>
      </c>
      <c r="P58" s="646">
        <f>변경집계!$O29</f>
        <v>51515</v>
      </c>
      <c r="Q58" s="698">
        <f>변경집계!$P29</f>
        <v>0</v>
      </c>
      <c r="R58" s="642">
        <f>변경집계!L52</f>
        <v>0</v>
      </c>
      <c r="S58" s="643">
        <f>변경집계!M52</f>
        <v>0</v>
      </c>
      <c r="T58" s="646">
        <f>변경집계!O52</f>
        <v>0</v>
      </c>
      <c r="U58" s="698">
        <f>변경집계!P52</f>
        <v>0</v>
      </c>
      <c r="V58" s="673">
        <f t="shared" ref="V58:V75" si="18">E58-D58</f>
        <v>-78308</v>
      </c>
    </row>
    <row r="59" spans="1:22" ht="29.1" customHeight="1" x14ac:dyDescent="0.15">
      <c r="A59" s="657" t="s">
        <v>27</v>
      </c>
      <c r="B59" s="642">
        <f t="shared" ref="B59:B75" si="19">J59+N59+R59</f>
        <v>66</v>
      </c>
      <c r="C59" s="643">
        <f t="shared" ref="C59:C75" si="20">K59+O59+S59</f>
        <v>0</v>
      </c>
      <c r="D59" s="644">
        <f t="shared" ref="D59:D75" si="21">L59+P59+T59</f>
        <v>18482</v>
      </c>
      <c r="E59" s="645">
        <f t="shared" ref="E59:E75" si="22">M59+Q59+U59</f>
        <v>0</v>
      </c>
      <c r="F59" s="642">
        <f t="shared" ref="F59:F75" si="23">J59+N59+R59</f>
        <v>66</v>
      </c>
      <c r="G59" s="642">
        <f t="shared" ref="G59:G75" si="24">K59+O59+S59</f>
        <v>0</v>
      </c>
      <c r="H59" s="646">
        <f t="shared" ref="H59:H75" si="25">L59+P59+T59</f>
        <v>18482</v>
      </c>
      <c r="I59" s="646">
        <f t="shared" ref="I59:I75" si="26">M59+Q59+U59</f>
        <v>0</v>
      </c>
      <c r="J59" s="649">
        <f>변경집계!$L7</f>
        <v>32</v>
      </c>
      <c r="K59" s="699">
        <f>변경집계!$M7</f>
        <v>0</v>
      </c>
      <c r="L59" s="651">
        <f>변경집계!$O7</f>
        <v>9251</v>
      </c>
      <c r="M59" s="700">
        <f>변경집계!$P7</f>
        <v>0</v>
      </c>
      <c r="N59" s="649">
        <f>변경집계!$L30</f>
        <v>34</v>
      </c>
      <c r="O59" s="699">
        <f>변경집계!$M30</f>
        <v>0</v>
      </c>
      <c r="P59" s="651">
        <f>변경집계!$O30</f>
        <v>9231</v>
      </c>
      <c r="Q59" s="700">
        <f>변경집계!$P30</f>
        <v>0</v>
      </c>
      <c r="R59" s="642">
        <f>변경집계!L53</f>
        <v>0</v>
      </c>
      <c r="S59" s="643">
        <f>변경집계!M53</f>
        <v>0</v>
      </c>
      <c r="T59" s="646">
        <f>변경집계!O53</f>
        <v>0</v>
      </c>
      <c r="U59" s="698">
        <f>변경집계!P53</f>
        <v>0</v>
      </c>
      <c r="V59" s="674">
        <f t="shared" si="18"/>
        <v>-18482</v>
      </c>
    </row>
    <row r="60" spans="1:22" ht="29.1" customHeight="1" x14ac:dyDescent="0.15">
      <c r="A60" s="657" t="s">
        <v>28</v>
      </c>
      <c r="B60" s="642">
        <f t="shared" si="19"/>
        <v>45</v>
      </c>
      <c r="C60" s="643">
        <f t="shared" si="20"/>
        <v>0</v>
      </c>
      <c r="D60" s="644">
        <f t="shared" si="21"/>
        <v>19902</v>
      </c>
      <c r="E60" s="645">
        <f t="shared" si="22"/>
        <v>0</v>
      </c>
      <c r="F60" s="642">
        <f t="shared" si="23"/>
        <v>45</v>
      </c>
      <c r="G60" s="642">
        <f t="shared" si="24"/>
        <v>0</v>
      </c>
      <c r="H60" s="646">
        <f t="shared" si="25"/>
        <v>19902</v>
      </c>
      <c r="I60" s="646">
        <f t="shared" si="26"/>
        <v>0</v>
      </c>
      <c r="J60" s="649">
        <f>변경집계!$L8</f>
        <v>9</v>
      </c>
      <c r="K60" s="699">
        <f>변경집계!$M8</f>
        <v>0</v>
      </c>
      <c r="L60" s="651">
        <f>변경집계!$O8</f>
        <v>4551</v>
      </c>
      <c r="M60" s="700">
        <f>변경집계!$P8</f>
        <v>0</v>
      </c>
      <c r="N60" s="649">
        <f>변경집계!$L31</f>
        <v>36</v>
      </c>
      <c r="O60" s="699">
        <f>변경집계!$M31</f>
        <v>0</v>
      </c>
      <c r="P60" s="651">
        <f>변경집계!$O31</f>
        <v>15351</v>
      </c>
      <c r="Q60" s="700">
        <f>변경집계!$P31</f>
        <v>0</v>
      </c>
      <c r="R60" s="642">
        <f>변경집계!L54</f>
        <v>0</v>
      </c>
      <c r="S60" s="643">
        <f>변경집계!M54</f>
        <v>0</v>
      </c>
      <c r="T60" s="646">
        <f>변경집계!O54</f>
        <v>0</v>
      </c>
      <c r="U60" s="698">
        <f>변경집계!P54</f>
        <v>0</v>
      </c>
      <c r="V60" s="674">
        <f t="shared" si="18"/>
        <v>-19902</v>
      </c>
    </row>
    <row r="61" spans="1:22" ht="29.1" customHeight="1" x14ac:dyDescent="0.15">
      <c r="A61" s="657" t="s">
        <v>29</v>
      </c>
      <c r="B61" s="642">
        <f t="shared" si="19"/>
        <v>29</v>
      </c>
      <c r="C61" s="643">
        <f t="shared" si="20"/>
        <v>0</v>
      </c>
      <c r="D61" s="644">
        <f t="shared" si="21"/>
        <v>3971</v>
      </c>
      <c r="E61" s="645">
        <f t="shared" si="22"/>
        <v>0</v>
      </c>
      <c r="F61" s="642">
        <f t="shared" si="23"/>
        <v>29</v>
      </c>
      <c r="G61" s="642">
        <f t="shared" si="24"/>
        <v>0</v>
      </c>
      <c r="H61" s="646">
        <f t="shared" si="25"/>
        <v>3971</v>
      </c>
      <c r="I61" s="646">
        <f t="shared" si="26"/>
        <v>0</v>
      </c>
      <c r="J61" s="649">
        <f>변경집계!$L9</f>
        <v>16</v>
      </c>
      <c r="K61" s="699">
        <f>변경집계!$M9</f>
        <v>0</v>
      </c>
      <c r="L61" s="651">
        <f>변경집계!$O9</f>
        <v>1595</v>
      </c>
      <c r="M61" s="700">
        <f>변경집계!$P9</f>
        <v>0</v>
      </c>
      <c r="N61" s="649">
        <f>변경집계!$L32</f>
        <v>13</v>
      </c>
      <c r="O61" s="699">
        <f>변경집계!$M32</f>
        <v>0</v>
      </c>
      <c r="P61" s="651">
        <f>변경집계!$O32</f>
        <v>2376</v>
      </c>
      <c r="Q61" s="700">
        <f>변경집계!$P32</f>
        <v>0</v>
      </c>
      <c r="R61" s="642">
        <f>변경집계!L55</f>
        <v>0</v>
      </c>
      <c r="S61" s="643">
        <f>변경집계!M55</f>
        <v>0</v>
      </c>
      <c r="T61" s="646">
        <f>변경집계!O55</f>
        <v>0</v>
      </c>
      <c r="U61" s="698">
        <f>변경집계!P55</f>
        <v>0</v>
      </c>
      <c r="V61" s="674">
        <f t="shared" si="18"/>
        <v>-3971</v>
      </c>
    </row>
    <row r="62" spans="1:22" ht="29.1" customHeight="1" x14ac:dyDescent="0.15">
      <c r="A62" s="657" t="s">
        <v>30</v>
      </c>
      <c r="B62" s="642">
        <f t="shared" si="19"/>
        <v>27</v>
      </c>
      <c r="C62" s="643">
        <f t="shared" si="20"/>
        <v>0</v>
      </c>
      <c r="D62" s="644">
        <f t="shared" si="21"/>
        <v>34335</v>
      </c>
      <c r="E62" s="645">
        <f t="shared" si="22"/>
        <v>0</v>
      </c>
      <c r="F62" s="642">
        <f t="shared" si="23"/>
        <v>27</v>
      </c>
      <c r="G62" s="642">
        <f t="shared" si="24"/>
        <v>0</v>
      </c>
      <c r="H62" s="646">
        <f t="shared" si="25"/>
        <v>34335</v>
      </c>
      <c r="I62" s="646">
        <f t="shared" si="26"/>
        <v>0</v>
      </c>
      <c r="J62" s="649">
        <f>변경집계!$L10</f>
        <v>10</v>
      </c>
      <c r="K62" s="699">
        <f>변경집계!$M10</f>
        <v>0</v>
      </c>
      <c r="L62" s="651">
        <f>변경집계!$O10</f>
        <v>11001</v>
      </c>
      <c r="M62" s="700">
        <f>변경집계!$P10</f>
        <v>0</v>
      </c>
      <c r="N62" s="649">
        <f>변경집계!$L33</f>
        <v>17</v>
      </c>
      <c r="O62" s="699">
        <f>변경집계!$M33</f>
        <v>0</v>
      </c>
      <c r="P62" s="651">
        <f>변경집계!$O33</f>
        <v>23334</v>
      </c>
      <c r="Q62" s="700">
        <f>변경집계!$P33</f>
        <v>0</v>
      </c>
      <c r="R62" s="642">
        <f>변경집계!L56</f>
        <v>0</v>
      </c>
      <c r="S62" s="643">
        <f>변경집계!M56</f>
        <v>0</v>
      </c>
      <c r="T62" s="646">
        <f>변경집계!O56</f>
        <v>0</v>
      </c>
      <c r="U62" s="698">
        <f>변경집계!P56</f>
        <v>0</v>
      </c>
      <c r="V62" s="674">
        <f t="shared" si="18"/>
        <v>-34335</v>
      </c>
    </row>
    <row r="63" spans="1:22" ht="29.1" customHeight="1" thickBot="1" x14ac:dyDescent="0.2">
      <c r="A63" s="658" t="s">
        <v>31</v>
      </c>
      <c r="B63" s="675">
        <f t="shared" si="19"/>
        <v>7</v>
      </c>
      <c r="C63" s="676">
        <f t="shared" si="20"/>
        <v>0</v>
      </c>
      <c r="D63" s="677">
        <f t="shared" si="21"/>
        <v>409</v>
      </c>
      <c r="E63" s="678">
        <f t="shared" si="22"/>
        <v>0</v>
      </c>
      <c r="F63" s="675">
        <f t="shared" si="23"/>
        <v>7</v>
      </c>
      <c r="G63" s="675">
        <f t="shared" si="24"/>
        <v>0</v>
      </c>
      <c r="H63" s="679">
        <f t="shared" si="25"/>
        <v>409</v>
      </c>
      <c r="I63" s="679">
        <f t="shared" si="26"/>
        <v>0</v>
      </c>
      <c r="J63" s="680">
        <f>변경집계!$L11</f>
        <v>5</v>
      </c>
      <c r="K63" s="701">
        <f>변경집계!$M11</f>
        <v>0</v>
      </c>
      <c r="L63" s="682">
        <f>변경집계!$O11</f>
        <v>160</v>
      </c>
      <c r="M63" s="702">
        <f>변경집계!$P11</f>
        <v>0</v>
      </c>
      <c r="N63" s="680">
        <f>변경집계!$L34</f>
        <v>2</v>
      </c>
      <c r="O63" s="701">
        <f>변경집계!$M34</f>
        <v>0</v>
      </c>
      <c r="P63" s="682">
        <f>변경집계!$O34</f>
        <v>249</v>
      </c>
      <c r="Q63" s="702">
        <f>변경집계!$P34</f>
        <v>0</v>
      </c>
      <c r="R63" s="675">
        <f>변경집계!L57</f>
        <v>0</v>
      </c>
      <c r="S63" s="676">
        <f>변경집계!M57</f>
        <v>0</v>
      </c>
      <c r="T63" s="679">
        <f>변경집계!O57</f>
        <v>0</v>
      </c>
      <c r="U63" s="703">
        <f>변경집계!P57</f>
        <v>0</v>
      </c>
      <c r="V63" s="684">
        <f t="shared" si="18"/>
        <v>-409</v>
      </c>
    </row>
    <row r="64" spans="1:22" ht="29.1" hidden="1" customHeight="1" x14ac:dyDescent="0.15">
      <c r="A64" s="685" t="s">
        <v>32</v>
      </c>
      <c r="B64" s="686">
        <f t="shared" si="19"/>
        <v>1</v>
      </c>
      <c r="C64" s="687">
        <f t="shared" si="20"/>
        <v>0</v>
      </c>
      <c r="D64" s="688">
        <f t="shared" si="21"/>
        <v>9</v>
      </c>
      <c r="E64" s="689">
        <f t="shared" si="22"/>
        <v>0</v>
      </c>
      <c r="F64" s="686">
        <f t="shared" si="23"/>
        <v>1</v>
      </c>
      <c r="G64" s="686">
        <f t="shared" si="24"/>
        <v>0</v>
      </c>
      <c r="H64" s="690">
        <f t="shared" si="25"/>
        <v>9</v>
      </c>
      <c r="I64" s="690">
        <f t="shared" si="26"/>
        <v>0</v>
      </c>
      <c r="J64" s="691">
        <f>변경집계!$L12</f>
        <v>0</v>
      </c>
      <c r="K64" s="692">
        <f>변경집계!$M12</f>
        <v>0</v>
      </c>
      <c r="L64" s="693">
        <f>변경집계!$O12</f>
        <v>0</v>
      </c>
      <c r="M64" s="694">
        <f>변경집계!$P12</f>
        <v>0</v>
      </c>
      <c r="N64" s="691">
        <f>변경집계!$L35</f>
        <v>1</v>
      </c>
      <c r="O64" s="692">
        <f>변경집계!$M35</f>
        <v>0</v>
      </c>
      <c r="P64" s="693">
        <f>변경집계!$O35</f>
        <v>9</v>
      </c>
      <c r="Q64" s="694">
        <f>변경집계!$P35</f>
        <v>0</v>
      </c>
      <c r="R64" s="686">
        <f>변경집계!L58</f>
        <v>0</v>
      </c>
      <c r="S64" s="695">
        <f>변경집계!M58</f>
        <v>0</v>
      </c>
      <c r="T64" s="690">
        <f>변경집계!O58</f>
        <v>0</v>
      </c>
      <c r="U64" s="696">
        <f>변경집계!P58</f>
        <v>0</v>
      </c>
      <c r="V64" s="697">
        <f t="shared" si="18"/>
        <v>-9</v>
      </c>
    </row>
    <row r="65" spans="1:22" ht="29.1" hidden="1" customHeight="1" x14ac:dyDescent="0.15">
      <c r="A65" s="640" t="s">
        <v>33</v>
      </c>
      <c r="B65" s="404">
        <f t="shared" si="19"/>
        <v>1</v>
      </c>
      <c r="C65" s="405">
        <f t="shared" si="20"/>
        <v>0</v>
      </c>
      <c r="D65" s="406">
        <f t="shared" si="21"/>
        <v>193</v>
      </c>
      <c r="E65" s="407">
        <f t="shared" si="22"/>
        <v>0</v>
      </c>
      <c r="F65" s="404">
        <f t="shared" si="23"/>
        <v>1</v>
      </c>
      <c r="G65" s="404">
        <f t="shared" si="24"/>
        <v>0</v>
      </c>
      <c r="H65" s="408">
        <f t="shared" si="25"/>
        <v>193</v>
      </c>
      <c r="I65" s="408">
        <f t="shared" si="26"/>
        <v>0</v>
      </c>
      <c r="J65" s="409">
        <f>변경집계!$L13</f>
        <v>1</v>
      </c>
      <c r="K65" s="415">
        <f>변경집계!$M13</f>
        <v>0</v>
      </c>
      <c r="L65" s="410">
        <f>변경집계!$O13</f>
        <v>193</v>
      </c>
      <c r="M65" s="416">
        <f>변경집계!$P13</f>
        <v>0</v>
      </c>
      <c r="N65" s="409">
        <f>변경집계!$L36</f>
        <v>0</v>
      </c>
      <c r="O65" s="415">
        <f>변경집계!$M36</f>
        <v>0</v>
      </c>
      <c r="P65" s="410">
        <f>변경집계!$O36</f>
        <v>0</v>
      </c>
      <c r="Q65" s="416">
        <f>변경집계!$P36</f>
        <v>0</v>
      </c>
      <c r="R65" s="404">
        <f>변경집계!L59</f>
        <v>0</v>
      </c>
      <c r="S65" s="413">
        <f>변경집계!M59</f>
        <v>0</v>
      </c>
      <c r="T65" s="408">
        <f>변경집계!O59</f>
        <v>0</v>
      </c>
      <c r="U65" s="414">
        <f>변경집계!P59</f>
        <v>0</v>
      </c>
      <c r="V65" s="411">
        <f t="shared" si="18"/>
        <v>-193</v>
      </c>
    </row>
    <row r="66" spans="1:22" ht="29.1" hidden="1" customHeight="1" x14ac:dyDescent="0.15">
      <c r="A66" s="640" t="s">
        <v>34</v>
      </c>
      <c r="B66" s="404">
        <f t="shared" si="19"/>
        <v>0</v>
      </c>
      <c r="C66" s="405">
        <f t="shared" si="20"/>
        <v>0</v>
      </c>
      <c r="D66" s="406">
        <f t="shared" si="21"/>
        <v>0</v>
      </c>
      <c r="E66" s="407">
        <f t="shared" si="22"/>
        <v>0</v>
      </c>
      <c r="F66" s="404">
        <f t="shared" si="23"/>
        <v>0</v>
      </c>
      <c r="G66" s="404">
        <f t="shared" si="24"/>
        <v>0</v>
      </c>
      <c r="H66" s="408">
        <f t="shared" si="25"/>
        <v>0</v>
      </c>
      <c r="I66" s="408">
        <f t="shared" si="26"/>
        <v>0</v>
      </c>
      <c r="J66" s="409">
        <f>변경집계!$L14</f>
        <v>0</v>
      </c>
      <c r="K66" s="415">
        <f>변경집계!$M14</f>
        <v>0</v>
      </c>
      <c r="L66" s="410">
        <f>변경집계!$O14</f>
        <v>0</v>
      </c>
      <c r="M66" s="416">
        <f>변경집계!$P14</f>
        <v>0</v>
      </c>
      <c r="N66" s="409">
        <f>변경집계!$L37</f>
        <v>0</v>
      </c>
      <c r="O66" s="415">
        <f>변경집계!$M37</f>
        <v>0</v>
      </c>
      <c r="P66" s="410">
        <f>변경집계!$O37</f>
        <v>0</v>
      </c>
      <c r="Q66" s="416">
        <f>변경집계!$P37</f>
        <v>0</v>
      </c>
      <c r="R66" s="404">
        <f>변경집계!L60</f>
        <v>0</v>
      </c>
      <c r="S66" s="413">
        <f>변경집계!M60</f>
        <v>0</v>
      </c>
      <c r="T66" s="408">
        <f>변경집계!O60</f>
        <v>0</v>
      </c>
      <c r="U66" s="414">
        <f>변경집계!P60</f>
        <v>0</v>
      </c>
      <c r="V66" s="411">
        <f t="shared" si="18"/>
        <v>0</v>
      </c>
    </row>
    <row r="67" spans="1:22" ht="29.1" hidden="1" customHeight="1" x14ac:dyDescent="0.15">
      <c r="A67" s="640" t="s">
        <v>15</v>
      </c>
      <c r="B67" s="404">
        <f t="shared" si="19"/>
        <v>0</v>
      </c>
      <c r="C67" s="405">
        <f t="shared" si="20"/>
        <v>0</v>
      </c>
      <c r="D67" s="406">
        <f t="shared" si="21"/>
        <v>0</v>
      </c>
      <c r="E67" s="407">
        <f t="shared" si="22"/>
        <v>0</v>
      </c>
      <c r="F67" s="404">
        <f t="shared" si="23"/>
        <v>0</v>
      </c>
      <c r="G67" s="404">
        <f t="shared" si="24"/>
        <v>0</v>
      </c>
      <c r="H67" s="408">
        <f t="shared" si="25"/>
        <v>0</v>
      </c>
      <c r="I67" s="408">
        <f t="shared" si="26"/>
        <v>0</v>
      </c>
      <c r="J67" s="409">
        <f>변경집계!$L15</f>
        <v>0</v>
      </c>
      <c r="K67" s="415">
        <f>변경집계!$M15</f>
        <v>0</v>
      </c>
      <c r="L67" s="410">
        <f>변경집계!$O15</f>
        <v>0</v>
      </c>
      <c r="M67" s="416">
        <f>변경집계!$P15</f>
        <v>0</v>
      </c>
      <c r="N67" s="409">
        <f>변경집계!$L38</f>
        <v>0</v>
      </c>
      <c r="O67" s="415">
        <f>변경집계!$M38</f>
        <v>0</v>
      </c>
      <c r="P67" s="410">
        <f>변경집계!$O38</f>
        <v>0</v>
      </c>
      <c r="Q67" s="416">
        <f>변경집계!$P38</f>
        <v>0</v>
      </c>
      <c r="R67" s="404">
        <f>변경집계!L61</f>
        <v>0</v>
      </c>
      <c r="S67" s="413">
        <f>변경집계!M61</f>
        <v>0</v>
      </c>
      <c r="T67" s="408">
        <f>변경집계!O61</f>
        <v>0</v>
      </c>
      <c r="U67" s="414">
        <f>변경집계!P61</f>
        <v>0</v>
      </c>
      <c r="V67" s="411">
        <f t="shared" si="18"/>
        <v>0</v>
      </c>
    </row>
    <row r="68" spans="1:22" ht="29.1" hidden="1" customHeight="1" x14ac:dyDescent="0.15">
      <c r="A68" s="640" t="s">
        <v>35</v>
      </c>
      <c r="B68" s="404">
        <f t="shared" si="19"/>
        <v>1</v>
      </c>
      <c r="C68" s="405">
        <f t="shared" si="20"/>
        <v>0</v>
      </c>
      <c r="D68" s="406">
        <f t="shared" si="21"/>
        <v>124</v>
      </c>
      <c r="E68" s="407">
        <f t="shared" si="22"/>
        <v>0</v>
      </c>
      <c r="F68" s="404">
        <f t="shared" si="23"/>
        <v>1</v>
      </c>
      <c r="G68" s="404">
        <f t="shared" si="24"/>
        <v>0</v>
      </c>
      <c r="H68" s="408">
        <f t="shared" si="25"/>
        <v>124</v>
      </c>
      <c r="I68" s="408">
        <f t="shared" si="26"/>
        <v>0</v>
      </c>
      <c r="J68" s="409">
        <f>변경집계!$L16</f>
        <v>0</v>
      </c>
      <c r="K68" s="415">
        <f>변경집계!$M16</f>
        <v>0</v>
      </c>
      <c r="L68" s="410">
        <f>변경집계!$O16</f>
        <v>0</v>
      </c>
      <c r="M68" s="416">
        <f>변경집계!$P16</f>
        <v>0</v>
      </c>
      <c r="N68" s="409">
        <f>변경집계!$L39</f>
        <v>1</v>
      </c>
      <c r="O68" s="415">
        <f>변경집계!$M39</f>
        <v>0</v>
      </c>
      <c r="P68" s="410">
        <f>변경집계!$O39</f>
        <v>124</v>
      </c>
      <c r="Q68" s="416">
        <f>변경집계!$P39</f>
        <v>0</v>
      </c>
      <c r="R68" s="404">
        <f>변경집계!L62</f>
        <v>0</v>
      </c>
      <c r="S68" s="413">
        <f>변경집계!M62</f>
        <v>0</v>
      </c>
      <c r="T68" s="408">
        <f>변경집계!O62</f>
        <v>0</v>
      </c>
      <c r="U68" s="414">
        <f>변경집계!P62</f>
        <v>0</v>
      </c>
      <c r="V68" s="411">
        <f t="shared" si="18"/>
        <v>-124</v>
      </c>
    </row>
    <row r="69" spans="1:22" ht="29.1" hidden="1" customHeight="1" x14ac:dyDescent="0.15">
      <c r="A69" s="640" t="s">
        <v>36</v>
      </c>
      <c r="B69" s="404">
        <f t="shared" si="19"/>
        <v>0</v>
      </c>
      <c r="C69" s="405">
        <f t="shared" si="20"/>
        <v>0</v>
      </c>
      <c r="D69" s="406">
        <f t="shared" si="21"/>
        <v>0</v>
      </c>
      <c r="E69" s="407">
        <f t="shared" si="22"/>
        <v>0</v>
      </c>
      <c r="F69" s="404">
        <f t="shared" si="23"/>
        <v>0</v>
      </c>
      <c r="G69" s="404">
        <f t="shared" si="24"/>
        <v>0</v>
      </c>
      <c r="H69" s="408">
        <f t="shared" si="25"/>
        <v>0</v>
      </c>
      <c r="I69" s="408">
        <f t="shared" si="26"/>
        <v>0</v>
      </c>
      <c r="J69" s="409">
        <f>변경집계!$L17</f>
        <v>0</v>
      </c>
      <c r="K69" s="415">
        <f>변경집계!$M17</f>
        <v>0</v>
      </c>
      <c r="L69" s="410">
        <f>변경집계!$O17</f>
        <v>0</v>
      </c>
      <c r="M69" s="416">
        <f>변경집계!$P17</f>
        <v>0</v>
      </c>
      <c r="N69" s="409">
        <f>변경집계!$L40</f>
        <v>0</v>
      </c>
      <c r="O69" s="415">
        <f>변경집계!$M40</f>
        <v>0</v>
      </c>
      <c r="P69" s="410">
        <f>변경집계!$O40</f>
        <v>0</v>
      </c>
      <c r="Q69" s="416">
        <f>변경집계!$P40</f>
        <v>0</v>
      </c>
      <c r="R69" s="404">
        <f>변경집계!L63</f>
        <v>0</v>
      </c>
      <c r="S69" s="413">
        <f>변경집계!M63</f>
        <v>0</v>
      </c>
      <c r="T69" s="408">
        <f>변경집계!O63</f>
        <v>0</v>
      </c>
      <c r="U69" s="414">
        <f>변경집계!P63</f>
        <v>0</v>
      </c>
      <c r="V69" s="411">
        <f t="shared" si="18"/>
        <v>0</v>
      </c>
    </row>
    <row r="70" spans="1:22" ht="29.1" hidden="1" customHeight="1" x14ac:dyDescent="0.15">
      <c r="A70" s="640" t="s">
        <v>218</v>
      </c>
      <c r="B70" s="404">
        <f t="shared" si="19"/>
        <v>1</v>
      </c>
      <c r="C70" s="405">
        <f t="shared" si="20"/>
        <v>0</v>
      </c>
      <c r="D70" s="406">
        <f t="shared" si="21"/>
        <v>285</v>
      </c>
      <c r="E70" s="407">
        <f t="shared" si="22"/>
        <v>0</v>
      </c>
      <c r="F70" s="404">
        <f t="shared" si="23"/>
        <v>1</v>
      </c>
      <c r="G70" s="404">
        <f t="shared" si="24"/>
        <v>0</v>
      </c>
      <c r="H70" s="408">
        <f t="shared" si="25"/>
        <v>285</v>
      </c>
      <c r="I70" s="408">
        <f t="shared" si="26"/>
        <v>0</v>
      </c>
      <c r="J70" s="409">
        <f>변경집계!$L18</f>
        <v>0</v>
      </c>
      <c r="K70" s="415">
        <f>변경집계!$M18</f>
        <v>0</v>
      </c>
      <c r="L70" s="410">
        <f>변경집계!$O18</f>
        <v>0</v>
      </c>
      <c r="M70" s="416">
        <f>변경집계!$P18</f>
        <v>0</v>
      </c>
      <c r="N70" s="409">
        <f>변경집계!$L41</f>
        <v>1</v>
      </c>
      <c r="O70" s="415">
        <f>변경집계!$M41</f>
        <v>0</v>
      </c>
      <c r="P70" s="410">
        <f>변경집계!$O41</f>
        <v>285</v>
      </c>
      <c r="Q70" s="416">
        <f>변경집계!$P41</f>
        <v>0</v>
      </c>
      <c r="R70" s="404">
        <f>변경집계!L64</f>
        <v>0</v>
      </c>
      <c r="S70" s="413">
        <f>변경집계!M64</f>
        <v>0</v>
      </c>
      <c r="T70" s="408">
        <f>변경집계!O64</f>
        <v>0</v>
      </c>
      <c r="U70" s="414">
        <f>변경집계!P64</f>
        <v>0</v>
      </c>
      <c r="V70" s="411">
        <f t="shared" si="18"/>
        <v>-285</v>
      </c>
    </row>
    <row r="71" spans="1:22" ht="29.1" hidden="1" customHeight="1" x14ac:dyDescent="0.15">
      <c r="A71" s="640" t="s">
        <v>2</v>
      </c>
      <c r="B71" s="404">
        <f t="shared" si="19"/>
        <v>2</v>
      </c>
      <c r="C71" s="405">
        <f t="shared" si="20"/>
        <v>0</v>
      </c>
      <c r="D71" s="406">
        <f t="shared" si="21"/>
        <v>314</v>
      </c>
      <c r="E71" s="407">
        <f t="shared" si="22"/>
        <v>0</v>
      </c>
      <c r="F71" s="404">
        <f t="shared" si="23"/>
        <v>2</v>
      </c>
      <c r="G71" s="404">
        <f t="shared" si="24"/>
        <v>0</v>
      </c>
      <c r="H71" s="408">
        <f t="shared" si="25"/>
        <v>314</v>
      </c>
      <c r="I71" s="408">
        <f t="shared" si="26"/>
        <v>0</v>
      </c>
      <c r="J71" s="409">
        <f>변경집계!$L19</f>
        <v>0</v>
      </c>
      <c r="K71" s="415">
        <f>변경집계!$M19</f>
        <v>0</v>
      </c>
      <c r="L71" s="410">
        <f>변경집계!$O19</f>
        <v>0</v>
      </c>
      <c r="M71" s="416">
        <f>변경집계!$P19</f>
        <v>0</v>
      </c>
      <c r="N71" s="409">
        <f>변경집계!$L42</f>
        <v>2</v>
      </c>
      <c r="O71" s="415">
        <f>변경집계!$M42</f>
        <v>0</v>
      </c>
      <c r="P71" s="410">
        <f>변경집계!$O42</f>
        <v>314</v>
      </c>
      <c r="Q71" s="416">
        <f>변경집계!$P42</f>
        <v>0</v>
      </c>
      <c r="R71" s="404">
        <f>변경집계!L65</f>
        <v>0</v>
      </c>
      <c r="S71" s="413">
        <f>변경집계!M65</f>
        <v>0</v>
      </c>
      <c r="T71" s="408">
        <f>변경집계!O65</f>
        <v>0</v>
      </c>
      <c r="U71" s="414">
        <f>변경집계!P65</f>
        <v>0</v>
      </c>
      <c r="V71" s="411">
        <f t="shared" si="18"/>
        <v>-314</v>
      </c>
    </row>
    <row r="72" spans="1:22" ht="29.1" hidden="1" customHeight="1" x14ac:dyDescent="0.15">
      <c r="A72" s="640" t="s">
        <v>5</v>
      </c>
      <c r="B72" s="404">
        <f t="shared" si="19"/>
        <v>5</v>
      </c>
      <c r="C72" s="405">
        <f t="shared" si="20"/>
        <v>0</v>
      </c>
      <c r="D72" s="406">
        <f t="shared" si="21"/>
        <v>284</v>
      </c>
      <c r="E72" s="407">
        <f t="shared" si="22"/>
        <v>0</v>
      </c>
      <c r="F72" s="404">
        <f t="shared" si="23"/>
        <v>5</v>
      </c>
      <c r="G72" s="404">
        <f t="shared" si="24"/>
        <v>0</v>
      </c>
      <c r="H72" s="408">
        <f t="shared" si="25"/>
        <v>284</v>
      </c>
      <c r="I72" s="408">
        <f t="shared" si="26"/>
        <v>0</v>
      </c>
      <c r="J72" s="409">
        <f>변경집계!$L20</f>
        <v>1</v>
      </c>
      <c r="K72" s="415">
        <f>변경집계!$M20</f>
        <v>0</v>
      </c>
      <c r="L72" s="410">
        <f>변경집계!$O20</f>
        <v>42</v>
      </c>
      <c r="M72" s="416">
        <f>변경집계!$P20</f>
        <v>0</v>
      </c>
      <c r="N72" s="409">
        <f>변경집계!$L43</f>
        <v>4</v>
      </c>
      <c r="O72" s="415">
        <f>변경집계!$M43</f>
        <v>0</v>
      </c>
      <c r="P72" s="410">
        <f>변경집계!$O43</f>
        <v>242</v>
      </c>
      <c r="Q72" s="416">
        <f>변경집계!$P43</f>
        <v>0</v>
      </c>
      <c r="R72" s="404">
        <f>변경집계!L66</f>
        <v>0</v>
      </c>
      <c r="S72" s="413">
        <f>변경집계!M66</f>
        <v>0</v>
      </c>
      <c r="T72" s="408">
        <f>변경집계!O66</f>
        <v>0</v>
      </c>
      <c r="U72" s="414">
        <f>변경집계!P66</f>
        <v>0</v>
      </c>
      <c r="V72" s="411">
        <f t="shared" si="18"/>
        <v>-284</v>
      </c>
    </row>
    <row r="73" spans="1:22" ht="29.1" hidden="1" customHeight="1" x14ac:dyDescent="0.15">
      <c r="A73" s="640" t="s">
        <v>193</v>
      </c>
      <c r="B73" s="404">
        <f t="shared" si="19"/>
        <v>0</v>
      </c>
      <c r="C73" s="405">
        <f t="shared" si="20"/>
        <v>0</v>
      </c>
      <c r="D73" s="406">
        <f t="shared" si="21"/>
        <v>0</v>
      </c>
      <c r="E73" s="407">
        <f t="shared" si="22"/>
        <v>0</v>
      </c>
      <c r="F73" s="404">
        <f t="shared" si="23"/>
        <v>0</v>
      </c>
      <c r="G73" s="404">
        <f t="shared" si="24"/>
        <v>0</v>
      </c>
      <c r="H73" s="408">
        <f t="shared" si="25"/>
        <v>0</v>
      </c>
      <c r="I73" s="408">
        <f t="shared" si="26"/>
        <v>0</v>
      </c>
      <c r="J73" s="409">
        <f>변경집계!$L21</f>
        <v>0</v>
      </c>
      <c r="K73" s="415">
        <f>변경집계!$M21</f>
        <v>0</v>
      </c>
      <c r="L73" s="410">
        <f>변경집계!$O21</f>
        <v>0</v>
      </c>
      <c r="M73" s="416">
        <f>변경집계!$P21</f>
        <v>0</v>
      </c>
      <c r="N73" s="409">
        <f>변경집계!$L44</f>
        <v>0</v>
      </c>
      <c r="O73" s="415">
        <f>변경집계!$M44</f>
        <v>0</v>
      </c>
      <c r="P73" s="410">
        <f>변경집계!$O44</f>
        <v>0</v>
      </c>
      <c r="Q73" s="416">
        <f>변경집계!$P44</f>
        <v>0</v>
      </c>
      <c r="R73" s="404">
        <f>변경집계!L67</f>
        <v>0</v>
      </c>
      <c r="S73" s="413">
        <f>변경집계!M67</f>
        <v>0</v>
      </c>
      <c r="T73" s="408">
        <f>변경집계!O67</f>
        <v>0</v>
      </c>
      <c r="U73" s="414">
        <f>변경집계!P67</f>
        <v>0</v>
      </c>
      <c r="V73" s="411">
        <f t="shared" si="18"/>
        <v>0</v>
      </c>
    </row>
    <row r="74" spans="1:22" ht="29.1" hidden="1" customHeight="1" x14ac:dyDescent="0.15">
      <c r="A74" s="640" t="s">
        <v>40</v>
      </c>
      <c r="B74" s="404">
        <f t="shared" si="19"/>
        <v>0</v>
      </c>
      <c r="C74" s="405">
        <f t="shared" si="20"/>
        <v>0</v>
      </c>
      <c r="D74" s="406">
        <f t="shared" si="21"/>
        <v>0</v>
      </c>
      <c r="E74" s="407">
        <f t="shared" si="22"/>
        <v>0</v>
      </c>
      <c r="F74" s="404">
        <f t="shared" si="23"/>
        <v>0</v>
      </c>
      <c r="G74" s="404">
        <f t="shared" si="24"/>
        <v>0</v>
      </c>
      <c r="H74" s="408">
        <f t="shared" si="25"/>
        <v>0</v>
      </c>
      <c r="I74" s="408">
        <f t="shared" si="26"/>
        <v>0</v>
      </c>
      <c r="J74" s="409">
        <f>변경집계!$L22</f>
        <v>0</v>
      </c>
      <c r="K74" s="415">
        <f>변경집계!$M22</f>
        <v>0</v>
      </c>
      <c r="L74" s="410">
        <f>변경집계!$O22</f>
        <v>0</v>
      </c>
      <c r="M74" s="416">
        <f>변경집계!$P22</f>
        <v>0</v>
      </c>
      <c r="N74" s="409">
        <f>변경집계!$L45</f>
        <v>0</v>
      </c>
      <c r="O74" s="415">
        <f>변경집계!$M45</f>
        <v>0</v>
      </c>
      <c r="P74" s="410">
        <f>변경집계!$O45</f>
        <v>0</v>
      </c>
      <c r="Q74" s="416">
        <f>변경집계!$P45</f>
        <v>0</v>
      </c>
      <c r="R74" s="404">
        <f>변경집계!L68</f>
        <v>0</v>
      </c>
      <c r="S74" s="413">
        <f>변경집계!M68</f>
        <v>0</v>
      </c>
      <c r="T74" s="408">
        <f>변경집계!O68</f>
        <v>0</v>
      </c>
      <c r="U74" s="414">
        <f>변경집계!P68</f>
        <v>0</v>
      </c>
      <c r="V74" s="411">
        <f t="shared" si="18"/>
        <v>0</v>
      </c>
    </row>
    <row r="75" spans="1:22" ht="29.1" hidden="1" customHeight="1" thickBot="1" x14ac:dyDescent="0.2">
      <c r="A75" s="641" t="s">
        <v>16</v>
      </c>
      <c r="B75" s="404">
        <f t="shared" si="19"/>
        <v>0</v>
      </c>
      <c r="C75" s="405">
        <f t="shared" si="20"/>
        <v>0</v>
      </c>
      <c r="D75" s="406">
        <f t="shared" si="21"/>
        <v>0</v>
      </c>
      <c r="E75" s="407">
        <f t="shared" si="22"/>
        <v>0</v>
      </c>
      <c r="F75" s="404">
        <f t="shared" si="23"/>
        <v>0</v>
      </c>
      <c r="G75" s="404">
        <f t="shared" si="24"/>
        <v>0</v>
      </c>
      <c r="H75" s="408">
        <f t="shared" si="25"/>
        <v>0</v>
      </c>
      <c r="I75" s="408">
        <f t="shared" si="26"/>
        <v>0</v>
      </c>
      <c r="J75" s="409">
        <f>변경집계!$L23</f>
        <v>0</v>
      </c>
      <c r="K75" s="415">
        <f>변경집계!$M23</f>
        <v>0</v>
      </c>
      <c r="L75" s="410">
        <f>변경집계!$O23</f>
        <v>0</v>
      </c>
      <c r="M75" s="416">
        <f>변경집계!$P23</f>
        <v>0</v>
      </c>
      <c r="N75" s="409">
        <f>변경집계!$L46</f>
        <v>0</v>
      </c>
      <c r="O75" s="415">
        <f>변경집계!$M46</f>
        <v>0</v>
      </c>
      <c r="P75" s="410">
        <f>변경집계!$O46</f>
        <v>0</v>
      </c>
      <c r="Q75" s="416">
        <f>변경집계!$P46</f>
        <v>0</v>
      </c>
      <c r="R75" s="404">
        <f>변경집계!L69</f>
        <v>0</v>
      </c>
      <c r="S75" s="413">
        <f>변경집계!M69</f>
        <v>0</v>
      </c>
      <c r="T75" s="408">
        <f>변경집계!O69</f>
        <v>0</v>
      </c>
      <c r="U75" s="414">
        <f>변경집계!P69</f>
        <v>0</v>
      </c>
      <c r="V75" s="411">
        <f t="shared" si="18"/>
        <v>0</v>
      </c>
    </row>
    <row r="76" spans="1:22" ht="32.1" customHeight="1" x14ac:dyDescent="0.15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7"/>
      <c r="O76" s="97"/>
      <c r="P76" s="97"/>
      <c r="Q76" s="97"/>
      <c r="R76" s="97"/>
      <c r="S76" s="97"/>
      <c r="T76" s="97"/>
      <c r="U76" s="97"/>
      <c r="V76" s="98"/>
    </row>
    <row r="77" spans="1:22" ht="32.1" customHeight="1" x14ac:dyDescent="0.15">
      <c r="A77" s="99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1"/>
      <c r="O77" s="101"/>
      <c r="P77" s="101"/>
      <c r="Q77" s="101"/>
      <c r="R77" s="101"/>
      <c r="S77" s="101"/>
      <c r="T77" s="101"/>
      <c r="U77" s="101"/>
      <c r="V77" s="49"/>
    </row>
  </sheetData>
  <mergeCells count="46">
    <mergeCell ref="A51:V51"/>
    <mergeCell ref="T56:U56"/>
    <mergeCell ref="V53:V57"/>
    <mergeCell ref="N55:Q55"/>
    <mergeCell ref="A53:A57"/>
    <mergeCell ref="D56:E56"/>
    <mergeCell ref="P56:Q56"/>
    <mergeCell ref="L56:M56"/>
    <mergeCell ref="H56:I56"/>
    <mergeCell ref="B53:E55"/>
    <mergeCell ref="J53:U53"/>
    <mergeCell ref="F53:I54"/>
    <mergeCell ref="J55:M55"/>
    <mergeCell ref="F55:I55"/>
    <mergeCell ref="R55:U55"/>
    <mergeCell ref="J54:U54"/>
    <mergeCell ref="A1:V1"/>
    <mergeCell ref="A3:A7"/>
    <mergeCell ref="A28:A32"/>
    <mergeCell ref="L31:M31"/>
    <mergeCell ref="H6:I6"/>
    <mergeCell ref="P6:Q6"/>
    <mergeCell ref="A26:V26"/>
    <mergeCell ref="P31:Q31"/>
    <mergeCell ref="V3:V7"/>
    <mergeCell ref="V28:V32"/>
    <mergeCell ref="J5:M5"/>
    <mergeCell ref="N5:Q5"/>
    <mergeCell ref="R5:U5"/>
    <mergeCell ref="J3:U3"/>
    <mergeCell ref="J28:U28"/>
    <mergeCell ref="B3:E5"/>
    <mergeCell ref="F4:I5"/>
    <mergeCell ref="B28:E30"/>
    <mergeCell ref="D6:E6"/>
    <mergeCell ref="J4:U4"/>
    <mergeCell ref="D31:E31"/>
    <mergeCell ref="N30:Q30"/>
    <mergeCell ref="F29:I30"/>
    <mergeCell ref="R30:U30"/>
    <mergeCell ref="L6:M6"/>
    <mergeCell ref="T6:U6"/>
    <mergeCell ref="H31:I31"/>
    <mergeCell ref="J30:M30"/>
    <mergeCell ref="T31:U31"/>
    <mergeCell ref="J29:U29"/>
  </mergeCells>
  <phoneticPr fontId="4" type="noConversion"/>
  <printOptions horizontalCentered="1"/>
  <pageMargins left="0.35433070866141736" right="0.15748031496062992" top="0.39370078740157483" bottom="0.39370078740157483" header="0.39370078740157483" footer="0.39370078740157483"/>
  <pageSetup paperSize="9" orientation="landscape" horizontalDpi="1200" verticalDpi="1200" r:id="rId1"/>
  <headerFooter alignWithMargins="0"/>
  <rowBreaks count="3" manualBreakCount="3">
    <brk id="25" max="44" man="1"/>
    <brk id="50" max="44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43"/>
  <sheetViews>
    <sheetView showZeros="0" view="pageBreakPreview" zoomScaleNormal="100" zoomScaleSheetLayoutView="100" workbookViewId="0">
      <selection activeCell="P16" sqref="P16"/>
    </sheetView>
  </sheetViews>
  <sheetFormatPr defaultColWidth="7" defaultRowHeight="24.95" customHeight="1" x14ac:dyDescent="0.15"/>
  <cols>
    <col min="1" max="1" width="6.6640625" style="24" customWidth="1"/>
    <col min="2" max="3" width="5.77734375" style="24" customWidth="1"/>
    <col min="4" max="4" width="0.88671875" style="24" hidden="1" customWidth="1"/>
    <col min="5" max="6" width="8.77734375" style="24" customWidth="1"/>
    <col min="7" max="8" width="5.77734375" style="24" customWidth="1"/>
    <col min="9" max="9" width="0.88671875" style="24" hidden="1" customWidth="1"/>
    <col min="10" max="11" width="8.77734375" style="24" customWidth="1"/>
    <col min="12" max="13" width="5.77734375" style="24" customWidth="1"/>
    <col min="14" max="14" width="0.88671875" style="24" hidden="1" customWidth="1"/>
    <col min="15" max="16" width="8.77734375" style="24" customWidth="1"/>
    <col min="17" max="17" width="9.77734375" style="24" customWidth="1"/>
    <col min="18" max="16384" width="7" style="24"/>
  </cols>
  <sheetData>
    <row r="1" spans="1:17" ht="24.95" customHeight="1" x14ac:dyDescent="0.15">
      <c r="A1" s="704" t="s">
        <v>65</v>
      </c>
      <c r="B1" s="704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</row>
    <row r="2" spans="1:17" s="20" customFormat="1" ht="20.100000000000001" customHeight="1" thickBot="1" x14ac:dyDescent="0.2">
      <c r="A2" s="163"/>
      <c r="B2" s="164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65" t="s">
        <v>216</v>
      </c>
    </row>
    <row r="3" spans="1:17" s="20" customFormat="1" ht="24.95" customHeight="1" x14ac:dyDescent="0.15">
      <c r="A3" s="1079" t="s">
        <v>23</v>
      </c>
      <c r="B3" s="706" t="s">
        <v>24</v>
      </c>
      <c r="C3" s="706"/>
      <c r="D3" s="706"/>
      <c r="E3" s="706"/>
      <c r="F3" s="707"/>
      <c r="G3" s="706" t="s">
        <v>57</v>
      </c>
      <c r="H3" s="706"/>
      <c r="I3" s="706"/>
      <c r="J3" s="706"/>
      <c r="K3" s="707"/>
      <c r="L3" s="706" t="s">
        <v>41</v>
      </c>
      <c r="M3" s="706"/>
      <c r="N3" s="706"/>
      <c r="O3" s="706"/>
      <c r="P3" s="706"/>
      <c r="Q3" s="1073" t="s">
        <v>66</v>
      </c>
    </row>
    <row r="4" spans="1:17" s="20" customFormat="1" ht="24.95" customHeight="1" x14ac:dyDescent="0.15">
      <c r="A4" s="1080"/>
      <c r="B4" s="1076" t="s">
        <v>63</v>
      </c>
      <c r="C4" s="1077"/>
      <c r="D4" s="708" t="s">
        <v>26</v>
      </c>
      <c r="E4" s="1078" t="s">
        <v>43</v>
      </c>
      <c r="F4" s="1077"/>
      <c r="G4" s="1076" t="s">
        <v>63</v>
      </c>
      <c r="H4" s="1077"/>
      <c r="I4" s="708" t="s">
        <v>26</v>
      </c>
      <c r="J4" s="1078" t="s">
        <v>43</v>
      </c>
      <c r="K4" s="1077"/>
      <c r="L4" s="1076" t="s">
        <v>63</v>
      </c>
      <c r="M4" s="1077"/>
      <c r="N4" s="708" t="s">
        <v>26</v>
      </c>
      <c r="O4" s="1078" t="s">
        <v>43</v>
      </c>
      <c r="P4" s="1077"/>
      <c r="Q4" s="1074"/>
    </row>
    <row r="5" spans="1:17" s="20" customFormat="1" ht="24.95" customHeight="1" x14ac:dyDescent="0.15">
      <c r="A5" s="1081"/>
      <c r="B5" s="709" t="s">
        <v>61</v>
      </c>
      <c r="C5" s="710" t="s">
        <v>62</v>
      </c>
      <c r="D5" s="711" t="s">
        <v>26</v>
      </c>
      <c r="E5" s="711" t="s">
        <v>61</v>
      </c>
      <c r="F5" s="709" t="s">
        <v>62</v>
      </c>
      <c r="G5" s="709" t="s">
        <v>61</v>
      </c>
      <c r="H5" s="710" t="s">
        <v>62</v>
      </c>
      <c r="I5" s="711" t="s">
        <v>26</v>
      </c>
      <c r="J5" s="711" t="s">
        <v>61</v>
      </c>
      <c r="K5" s="709" t="s">
        <v>62</v>
      </c>
      <c r="L5" s="709" t="s">
        <v>61</v>
      </c>
      <c r="M5" s="710" t="s">
        <v>62</v>
      </c>
      <c r="N5" s="711" t="s">
        <v>26</v>
      </c>
      <c r="O5" s="711" t="s">
        <v>61</v>
      </c>
      <c r="P5" s="709" t="s">
        <v>62</v>
      </c>
      <c r="Q5" s="1075"/>
    </row>
    <row r="6" spans="1:17" s="80" customFormat="1" ht="24.95" customHeight="1" x14ac:dyDescent="0.15">
      <c r="A6" s="712" t="s">
        <v>24</v>
      </c>
      <c r="B6" s="713">
        <f>SUM(B7:B23)</f>
        <v>86</v>
      </c>
      <c r="C6" s="714">
        <f>SUMIF(대곡리!$T$1:$T$634,"계",대곡리!$V$1:$V634)</f>
        <v>77</v>
      </c>
      <c r="D6" s="715" t="s">
        <v>26</v>
      </c>
      <c r="E6" s="716">
        <f>SUMIF(대곡리!$T$1:$T$634,"계",대곡리!$X$1:$X634)</f>
        <v>29165</v>
      </c>
      <c r="F6" s="717">
        <f>SUMIF(대곡리!$T$1:$T$634,"계",대곡리!$Y$1:$Y634)</f>
        <v>26921</v>
      </c>
      <c r="G6" s="713">
        <f>SUMIF(대곡리!$T$1:$T$634,"계",대곡리!Z$1:$Z634)</f>
        <v>12</v>
      </c>
      <c r="H6" s="714">
        <f>SUMIF(대곡리!$T$1:$T$634,"계",대곡리!$AA$1:AA634)</f>
        <v>77</v>
      </c>
      <c r="I6" s="715" t="s">
        <v>26</v>
      </c>
      <c r="J6" s="718">
        <f>SUMIF(대곡리!$T$1:$T$634,"계",대곡리!$AC$1:$AC634)</f>
        <v>2372</v>
      </c>
      <c r="K6" s="719">
        <f>SUMIF(대곡리!$T$1:$T$634,"계",대곡리!$AD$1:$AD634)</f>
        <v>26921</v>
      </c>
      <c r="L6" s="713">
        <f>SUMIF(대곡리!$T$1:$T$634,"계",대곡리!$AE$1:$AE634)</f>
        <v>74</v>
      </c>
      <c r="M6" s="714">
        <f>SUMIF(대곡리!$T$1:$T$634,"계",대곡리!$AF$1:$AF634)</f>
        <v>0</v>
      </c>
      <c r="N6" s="715" t="s">
        <v>26</v>
      </c>
      <c r="O6" s="716">
        <f>SUMIF(대곡리!$T$1:$T$634,"계",대곡리!$AH$1:$AH634)</f>
        <v>26793</v>
      </c>
      <c r="P6" s="717">
        <f>SUMIF(대곡리!$T$1:$T$634,"계",대곡리!$AI$1:$AI634)</f>
        <v>0</v>
      </c>
      <c r="Q6" s="720">
        <f>F6-E6</f>
        <v>-2244</v>
      </c>
    </row>
    <row r="7" spans="1:17" s="20" customFormat="1" ht="24.95" customHeight="1" x14ac:dyDescent="0.15">
      <c r="A7" s="721" t="s">
        <v>27</v>
      </c>
      <c r="B7" s="722">
        <f>SUMIF(대곡리!$T$1:$T$634,"전",대곡리!$U$1:$U635)</f>
        <v>33</v>
      </c>
      <c r="C7" s="723">
        <f>SUMIF(대곡리!$T$1:$T$634,"전",대곡리!$V$1:$V635)</f>
        <v>31</v>
      </c>
      <c r="D7" s="724" t="s">
        <v>26</v>
      </c>
      <c r="E7" s="725">
        <f>SUMIF(대곡리!$T$1:$T$634,"전",대곡리!$X$1:$X635)</f>
        <v>9269</v>
      </c>
      <c r="F7" s="726">
        <f>SUMIF(대곡리!$T$1:$T$634,"전",대곡리!$Y$1:$Y635)</f>
        <v>8195</v>
      </c>
      <c r="G7" s="727">
        <f>SUMIF(대곡리!$T$1:$T$634,"전",대곡리!Z$1:$Z635)</f>
        <v>1</v>
      </c>
      <c r="H7" s="723">
        <f>SUMIF(대곡리!$T$1:$T$634,"전",대곡리!$AA$1:AA635)</f>
        <v>31</v>
      </c>
      <c r="I7" s="724" t="s">
        <v>26</v>
      </c>
      <c r="J7" s="728">
        <f>SUMIF(대곡리!$T$1:$T$634,"전",대곡리!$AC$1:$AC635)</f>
        <v>18</v>
      </c>
      <c r="K7" s="726">
        <f>SUMIF(대곡리!$T$1:$T$634,"전",대곡리!$AD$1:$AD635)</f>
        <v>8195</v>
      </c>
      <c r="L7" s="727">
        <f>SUMIF(대곡리!$T$1:$T$634,"전",대곡리!$AE$1:$AE635)</f>
        <v>32</v>
      </c>
      <c r="M7" s="723">
        <f>SUMIF(대곡리!$T$1:$T$634,"전",대곡리!$AF$1:$AF635)</f>
        <v>0</v>
      </c>
      <c r="N7" s="724" t="s">
        <v>26</v>
      </c>
      <c r="O7" s="728">
        <f>SUMIF(대곡리!$T$1:$T$634,"전",대곡리!$AH$1:$AH635)</f>
        <v>9251</v>
      </c>
      <c r="P7" s="726">
        <f>SUMIF(대곡리!$T$1:$T$634,"전",대곡리!$AI$1:$AI635)</f>
        <v>0</v>
      </c>
      <c r="Q7" s="729">
        <f t="shared" ref="Q7:Q23" si="0">F7-E7</f>
        <v>-1074</v>
      </c>
    </row>
    <row r="8" spans="1:17" s="20" customFormat="1" ht="24.95" customHeight="1" x14ac:dyDescent="0.15">
      <c r="A8" s="721" t="s">
        <v>28</v>
      </c>
      <c r="B8" s="727">
        <f>SUMIF(대곡리!$T$1:$T$634,"답",대곡리!$U$1:$U636)</f>
        <v>11</v>
      </c>
      <c r="C8" s="723">
        <f>SUMIF(대곡리!$T$1:$T$634,"답",대곡리!$V$1:$V636)</f>
        <v>9</v>
      </c>
      <c r="D8" s="724" t="s">
        <v>26</v>
      </c>
      <c r="E8" s="728">
        <f>SUMIF(대곡리!$T$1:$T$634,"답",대곡리!$X$1:$X636)</f>
        <v>4700</v>
      </c>
      <c r="F8" s="726">
        <f>SUMIF(대곡리!$T$1:$T$634,"답",대곡리!$Y$1:$Y636)</f>
        <v>4614</v>
      </c>
      <c r="G8" s="727">
        <f>SUMIF(대곡리!$T$1:$T$634,"답",대곡리!Z$1:$Z636)</f>
        <v>2</v>
      </c>
      <c r="H8" s="723">
        <f>SUMIF(대곡리!$T$1:$T$634,"답",대곡리!$AA$1:AA636)</f>
        <v>9</v>
      </c>
      <c r="I8" s="724" t="s">
        <v>26</v>
      </c>
      <c r="J8" s="728">
        <f>SUMIF(대곡리!$T$1:$T$634,"답",대곡리!$AC$1:$AC636)</f>
        <v>149</v>
      </c>
      <c r="K8" s="726">
        <f>SUMIF(대곡리!$T$1:$T$634,"답",대곡리!$AD$1:$AD636)</f>
        <v>4614</v>
      </c>
      <c r="L8" s="727">
        <f>SUMIF(대곡리!$T$1:$T$634,"답",대곡리!$AE$1:$AE636)</f>
        <v>9</v>
      </c>
      <c r="M8" s="723">
        <f>SUMIF(대곡리!$T$1:$T$634,"답",대곡리!$AF$1:$AF636)</f>
        <v>0</v>
      </c>
      <c r="N8" s="724" t="s">
        <v>26</v>
      </c>
      <c r="O8" s="728">
        <f>SUMIF(대곡리!$T$1:$T$634,"답",대곡리!$AH$1:$AH636)</f>
        <v>4551</v>
      </c>
      <c r="P8" s="726">
        <f>SUMIF(대곡리!$T$1:$T$634,"답",대곡리!$AI$1:$AI636)</f>
        <v>0</v>
      </c>
      <c r="Q8" s="729">
        <f t="shared" si="0"/>
        <v>-86</v>
      </c>
    </row>
    <row r="9" spans="1:17" s="20" customFormat="1" ht="24.95" customHeight="1" x14ac:dyDescent="0.15">
      <c r="A9" s="721" t="s">
        <v>29</v>
      </c>
      <c r="B9" s="727">
        <f>SUMIF(대곡리!$T$1:$T$634,"대지",대곡리!$U$1:$U637)</f>
        <v>16</v>
      </c>
      <c r="C9" s="723">
        <f>SUMIF(대곡리!$T$1:$T$634,"대지",대곡리!$V$1:$V637)</f>
        <v>14</v>
      </c>
      <c r="D9" s="724" t="s">
        <v>26</v>
      </c>
      <c r="E9" s="730">
        <f>SUMIF(대곡리!$T$1:$T$634,"대지",대곡리!$X$1:$X637)</f>
        <v>1595</v>
      </c>
      <c r="F9" s="731">
        <f>SUMIF(대곡리!$T$1:$T$634,"대지",대곡리!$Y$1:$Y637)</f>
        <v>1159</v>
      </c>
      <c r="G9" s="727">
        <f>SUMIF(대곡리!$T$1:$T$634,"대지",대곡리!Z$1:$Z637)</f>
        <v>0</v>
      </c>
      <c r="H9" s="723">
        <f>SUMIF(대곡리!$T$1:$T$634,"대지",대곡리!$AA$1:AA637)</f>
        <v>14</v>
      </c>
      <c r="I9" s="724" t="s">
        <v>26</v>
      </c>
      <c r="J9" s="728">
        <f>SUMIF(대곡리!$T$1:$T$634,"대지",대곡리!$AC$1:$AC637)</f>
        <v>0</v>
      </c>
      <c r="K9" s="726">
        <f>SUMIF(대곡리!$T$1:$T$634,"대지",대곡리!$AD$1:$AD637)</f>
        <v>1159</v>
      </c>
      <c r="L9" s="727">
        <f>SUMIF(대곡리!$T$1:$T$634,"대지",대곡리!$AE$1:$AE637)</f>
        <v>16</v>
      </c>
      <c r="M9" s="723">
        <f>SUMIF(대곡리!$T$1:$T$634,"대지",대곡리!$AF$1:$AF637)</f>
        <v>0</v>
      </c>
      <c r="N9" s="724" t="s">
        <v>26</v>
      </c>
      <c r="O9" s="730">
        <f>SUMIF(대곡리!$T$1:$T$634,"대지",대곡리!$AH$1:$AH637)</f>
        <v>1595</v>
      </c>
      <c r="P9" s="731">
        <f>SUMIF(대곡리!$T$1:$T$634,"대지",대곡리!$AI$1:$AI637)</f>
        <v>0</v>
      </c>
      <c r="Q9" s="729">
        <f t="shared" si="0"/>
        <v>-436</v>
      </c>
    </row>
    <row r="10" spans="1:17" s="20" customFormat="1" ht="24.95" customHeight="1" x14ac:dyDescent="0.15">
      <c r="A10" s="721" t="s">
        <v>30</v>
      </c>
      <c r="B10" s="727">
        <f>SUMIF(대곡리!$T$1:$T$634,"임야",대곡리!$U$1:$U638)</f>
        <v>11</v>
      </c>
      <c r="C10" s="723">
        <f>SUMIF(대곡리!$T$1:$T$634,"임야",대곡리!$V$1:$V638)</f>
        <v>9</v>
      </c>
      <c r="D10" s="724" t="s">
        <v>26</v>
      </c>
      <c r="E10" s="728">
        <f>SUMIF(대곡리!$T$1:$T$634,"임야",대곡리!$X$1:$X638)</f>
        <v>11196</v>
      </c>
      <c r="F10" s="726">
        <f>SUMIF(대곡리!$T$1:$T$634,"임야",대곡리!$Y$1:$Y638)</f>
        <v>10630</v>
      </c>
      <c r="G10" s="727">
        <f>SUMIF(대곡리!$T$1:$T$634,"임야",대곡리!Z$1:$Z638)</f>
        <v>1</v>
      </c>
      <c r="H10" s="723">
        <f>SUMIF(대곡리!$T$1:$T$634,"임야",대곡리!$AA$1:AA638)</f>
        <v>9</v>
      </c>
      <c r="I10" s="724" t="s">
        <v>26</v>
      </c>
      <c r="J10" s="728">
        <f>SUMIF(대곡리!$T$1:$T$634,"임야",대곡리!$AC$1:$AC638)</f>
        <v>195</v>
      </c>
      <c r="K10" s="726">
        <f>SUMIF(대곡리!$T$1:$T$634,"임야",대곡리!$AD$1:$AD638)</f>
        <v>10630</v>
      </c>
      <c r="L10" s="727">
        <f>SUMIF(대곡리!$T$1:$T$634,"임야",대곡리!$AE$1:$AE638)</f>
        <v>10</v>
      </c>
      <c r="M10" s="723">
        <f>SUMIF(대곡리!$T$1:$T$634,"임야",대곡리!$AF$1:$AF638)</f>
        <v>0</v>
      </c>
      <c r="N10" s="724" t="s">
        <v>26</v>
      </c>
      <c r="O10" s="728">
        <f>SUMIF(대곡리!$T$1:$T$634,"임야",대곡리!$AH$1:$AH638)</f>
        <v>11001</v>
      </c>
      <c r="P10" s="726">
        <f>SUMIF(대곡리!$T$1:$T$634,"임야",대곡리!$AI$1:$AI638)</f>
        <v>0</v>
      </c>
      <c r="Q10" s="729">
        <f t="shared" si="0"/>
        <v>-566</v>
      </c>
    </row>
    <row r="11" spans="1:17" s="20" customFormat="1" ht="24.95" customHeight="1" x14ac:dyDescent="0.15">
      <c r="A11" s="721" t="s">
        <v>31</v>
      </c>
      <c r="B11" s="727">
        <f>SUMIF(대곡리!$T$1:$T$634,"도로",대곡리!$U$1:$U639)</f>
        <v>12</v>
      </c>
      <c r="C11" s="723">
        <f>SUMIF(대곡리!$T$1:$T$634,"도로",대곡리!$V$1:$V639)</f>
        <v>11</v>
      </c>
      <c r="D11" s="724" t="s">
        <v>26</v>
      </c>
      <c r="E11" s="728">
        <f>SUMIF(대곡리!$T$1:$T$634,"도로",대곡리!$X$1:$X639)</f>
        <v>1086</v>
      </c>
      <c r="F11" s="726">
        <f>SUMIF(대곡리!$T$1:$T$634,"도로",대곡리!$Y$1:$Y639)</f>
        <v>1004</v>
      </c>
      <c r="G11" s="727">
        <f>SUMIF(대곡리!$T$1:$T$634,"도로",대곡리!Z$1:$Z639)</f>
        <v>7</v>
      </c>
      <c r="H11" s="723">
        <f>SUMIF(대곡리!$T$1:$T$634,"도로",대곡리!$AA$1:AA639)</f>
        <v>11</v>
      </c>
      <c r="I11" s="724" t="s">
        <v>26</v>
      </c>
      <c r="J11" s="728">
        <f>SUMIF(대곡리!$T$1:$T$634,"도로",대곡리!$AC$1:$AC639)</f>
        <v>926</v>
      </c>
      <c r="K11" s="726">
        <f>SUMIF(대곡리!$T$1:$T$634,"도로",대곡리!$AD$1:$AD639)</f>
        <v>1004</v>
      </c>
      <c r="L11" s="727">
        <f>SUMIF(대곡리!$T$1:$T$634,"도로",대곡리!$AE$1:$AE639)</f>
        <v>5</v>
      </c>
      <c r="M11" s="723">
        <f>SUMIF(대곡리!$T$1:$T$634,"도로",대곡리!$AF$1:$AF639)</f>
        <v>0</v>
      </c>
      <c r="N11" s="724" t="s">
        <v>26</v>
      </c>
      <c r="O11" s="728">
        <f>SUMIF(대곡리!$T$1:$T$634,"도로",대곡리!$AH$1:$AH639)</f>
        <v>160</v>
      </c>
      <c r="P11" s="726">
        <f>SUMIF(대곡리!$T$1:$T$634,"도로",대곡리!$AI$1:$AI639)</f>
        <v>0</v>
      </c>
      <c r="Q11" s="729">
        <f t="shared" si="0"/>
        <v>-82</v>
      </c>
    </row>
    <row r="12" spans="1:17" s="20" customFormat="1" ht="24.95" customHeight="1" x14ac:dyDescent="0.15">
      <c r="A12" s="721" t="s">
        <v>32</v>
      </c>
      <c r="B12" s="727">
        <f>SUMIF(대곡리!$T$1:$T$634,"하천",대곡리!$U$1:$U640)</f>
        <v>1</v>
      </c>
      <c r="C12" s="723">
        <f>SUMIF(대곡리!$T$1:$T$634,"하천",대곡리!$V$1:$V640)</f>
        <v>1</v>
      </c>
      <c r="D12" s="724" t="s">
        <v>26</v>
      </c>
      <c r="E12" s="728">
        <f>SUMIF(대곡리!$T$1:$T$634,"하천",대곡리!$X$1:$X640)</f>
        <v>1084</v>
      </c>
      <c r="F12" s="726">
        <f>SUMIF(대곡리!$T$1:$T$634,"하천",대곡리!$Y$1:$Y640)</f>
        <v>1084</v>
      </c>
      <c r="G12" s="727">
        <f>SUMIF(대곡리!$T$1:$T$634,"하천",대곡리!Z$1:$Z640)</f>
        <v>1</v>
      </c>
      <c r="H12" s="723">
        <f>SUMIF(대곡리!$T$1:$T$634,"하천",대곡리!$AA$1:AA640)</f>
        <v>1</v>
      </c>
      <c r="I12" s="724" t="s">
        <v>26</v>
      </c>
      <c r="J12" s="728">
        <f>SUMIF(대곡리!$T$1:$T$634,"하천",대곡리!$AC$1:$AC640)</f>
        <v>1084</v>
      </c>
      <c r="K12" s="726">
        <f>SUMIF(대곡리!$T$1:$T$634,"하천",대곡리!$AD$1:$AD640)</f>
        <v>1084</v>
      </c>
      <c r="L12" s="727">
        <f>SUMIF(대곡리!$T$1:$T$634,"하천",대곡리!$AE$1:$AE640)</f>
        <v>0</v>
      </c>
      <c r="M12" s="723">
        <f>SUMIF(대곡리!$T$1:$T$634,"하천",대곡리!$AF$1:$AF640)</f>
        <v>0</v>
      </c>
      <c r="N12" s="724" t="s">
        <v>26</v>
      </c>
      <c r="O12" s="728">
        <f>SUMIF(대곡리!$T$1:$T$634,"하천",대곡리!$AH$1:$AH640)</f>
        <v>0</v>
      </c>
      <c r="P12" s="726">
        <f>SUMIF(대곡리!$T$1:$T$634,"하천",대곡리!$AI$1:$AI640)</f>
        <v>0</v>
      </c>
      <c r="Q12" s="729">
        <f t="shared" si="0"/>
        <v>0</v>
      </c>
    </row>
    <row r="13" spans="1:17" s="20" customFormat="1" ht="24.95" customHeight="1" x14ac:dyDescent="0.15">
      <c r="A13" s="721" t="s">
        <v>33</v>
      </c>
      <c r="B13" s="727">
        <f>SUMIF(대곡리!$T$1:$T$634,"구거",대곡리!$U$1:$U641)</f>
        <v>1</v>
      </c>
      <c r="C13" s="723">
        <f>SUMIF(대곡리!$T$1:$T$634,"구거",대곡리!$V$1:$V641)</f>
        <v>1</v>
      </c>
      <c r="D13" s="724" t="s">
        <v>26</v>
      </c>
      <c r="E13" s="728">
        <f>SUMIF(대곡리!$T$1:$T$634,"구거",대곡리!$X$1:$X641)</f>
        <v>193</v>
      </c>
      <c r="F13" s="726">
        <f>SUMIF(대곡리!$T$1:$T$634,"구거",대곡리!$Y$1:$Y641)</f>
        <v>193</v>
      </c>
      <c r="G13" s="727">
        <f>SUMIF(대곡리!$T$1:$T$634,"구거",대곡리!Z$1:$Z641)</f>
        <v>0</v>
      </c>
      <c r="H13" s="723">
        <f>SUMIF(대곡리!$T$1:$T$634,"구거",대곡리!$AA$1:AA641)</f>
        <v>1</v>
      </c>
      <c r="I13" s="724" t="s">
        <v>26</v>
      </c>
      <c r="J13" s="728">
        <f>SUMIF(대곡리!$T$1:$T$634,"구거",대곡리!$AC$1:$AC641)</f>
        <v>0</v>
      </c>
      <c r="K13" s="726">
        <f>SUMIF(대곡리!$T$1:$T$634,"구거",대곡리!$AD$1:$AD641)</f>
        <v>193</v>
      </c>
      <c r="L13" s="727">
        <f>SUMIF(대곡리!$T$1:$T$634,"구거",대곡리!$AE$1:$AE641)</f>
        <v>1</v>
      </c>
      <c r="M13" s="723">
        <f>SUMIF(대곡리!$T$1:$T$634,"구거",대곡리!$AF$1:$AF641)</f>
        <v>0</v>
      </c>
      <c r="N13" s="724" t="s">
        <v>26</v>
      </c>
      <c r="O13" s="728">
        <f>SUMIF(대곡리!$T$1:$T$634,"구거",대곡리!$AH$1:$AH641)</f>
        <v>193</v>
      </c>
      <c r="P13" s="726">
        <f>SUMIF(대곡리!$T$1:$T$634,"구거",대곡리!$AI$1:$AI641)</f>
        <v>0</v>
      </c>
      <c r="Q13" s="729">
        <f t="shared" si="0"/>
        <v>0</v>
      </c>
    </row>
    <row r="14" spans="1:17" s="20" customFormat="1" ht="24.95" customHeight="1" x14ac:dyDescent="0.15">
      <c r="A14" s="721" t="s">
        <v>34</v>
      </c>
      <c r="B14" s="727">
        <f>SUMIF(대곡리!$T$1:$T$634,"제방",대곡리!$U$1:$U642)</f>
        <v>0</v>
      </c>
      <c r="C14" s="723">
        <f>SUMIF(대곡리!$T$1:$T$634,"제방",대곡리!$V$1:$V642)</f>
        <v>0</v>
      </c>
      <c r="D14" s="724" t="s">
        <v>26</v>
      </c>
      <c r="E14" s="728">
        <f>SUMIF(대곡리!$T$1:$T$634,"제방",대곡리!$X$1:$X642)</f>
        <v>0</v>
      </c>
      <c r="F14" s="726">
        <f>SUMIF(대곡리!$T$1:$T$634,"제방",대곡리!$Y$1:$Y642)</f>
        <v>0</v>
      </c>
      <c r="G14" s="727">
        <f>SUMIF(대곡리!$T$1:$T$634,"제방",대곡리!Z$1:$Z642)</f>
        <v>0</v>
      </c>
      <c r="H14" s="723">
        <f>SUMIF(대곡리!$T$1:$T$634,"제방",대곡리!$AA$1:AA642)</f>
        <v>0</v>
      </c>
      <c r="I14" s="724" t="s">
        <v>26</v>
      </c>
      <c r="J14" s="728">
        <f>SUMIF(대곡리!$T$1:$T$634,"제방",대곡리!$AC$1:$AC642)</f>
        <v>0</v>
      </c>
      <c r="K14" s="726">
        <f>SUMIF(대곡리!$T$1:$T$634,"제방",대곡리!$AD$1:$AD642)</f>
        <v>0</v>
      </c>
      <c r="L14" s="727">
        <f>SUMIF(대곡리!$T$1:$T$634,"제방",대곡리!$AE$1:$AE642)</f>
        <v>0</v>
      </c>
      <c r="M14" s="723">
        <f>SUMIF(대곡리!$T$1:$T$634,"제방",대곡리!$AF$1:$AF642)</f>
        <v>0</v>
      </c>
      <c r="N14" s="724" t="s">
        <v>26</v>
      </c>
      <c r="O14" s="728">
        <f>SUMIF(대곡리!$T$1:$T$634,"제방",대곡리!$AH$1:$AH642)</f>
        <v>0</v>
      </c>
      <c r="P14" s="726">
        <f>SUMIF(대곡리!$T$1:$T$634,"제방",대곡리!$AI$1:$AI642)</f>
        <v>0</v>
      </c>
      <c r="Q14" s="732">
        <f t="shared" si="0"/>
        <v>0</v>
      </c>
    </row>
    <row r="15" spans="1:17" s="20" customFormat="1" ht="24.95" hidden="1" customHeight="1" x14ac:dyDescent="0.15">
      <c r="A15" s="721" t="s">
        <v>52</v>
      </c>
      <c r="B15" s="727">
        <f>SUMIF(대곡리!$T$1:$T$634,"유지",대곡리!$U$1:$U643)</f>
        <v>0</v>
      </c>
      <c r="C15" s="723">
        <f>SUMIF(대곡리!$T$1:$T$634,"유지",대곡리!$V$1:$V643)</f>
        <v>0</v>
      </c>
      <c r="D15" s="724" t="s">
        <v>26</v>
      </c>
      <c r="E15" s="728">
        <f>SUMIF(대곡리!$T$1:$T$634,"유지",대곡리!$X$1:$X643)</f>
        <v>0</v>
      </c>
      <c r="F15" s="726">
        <f>SUMIF(대곡리!$T$1:$T$634,"유지",대곡리!$Y$1:$Y643)</f>
        <v>0</v>
      </c>
      <c r="G15" s="727">
        <f>SUMIF(대곡리!$T$1:$T$634,"유지",대곡리!Z$1:$Z643)</f>
        <v>0</v>
      </c>
      <c r="H15" s="723">
        <f>SUMIF(대곡리!$T$1:$T$634,"유지",대곡리!$AA$1:AA643)</f>
        <v>0</v>
      </c>
      <c r="I15" s="724" t="s">
        <v>26</v>
      </c>
      <c r="J15" s="728">
        <f>SUMIF(대곡리!$T$1:$T$634,"유지",대곡리!$AC$1:$AC643)</f>
        <v>0</v>
      </c>
      <c r="K15" s="726">
        <f>SUMIF(대곡리!$T$1:$T$634,"유지",대곡리!$AD$1:$AD643)</f>
        <v>0</v>
      </c>
      <c r="L15" s="727">
        <f>SUMIF(대곡리!$T$1:$T$634,"유지",대곡리!$AE$1:$AE643)</f>
        <v>0</v>
      </c>
      <c r="M15" s="723">
        <f>SUMIF(대곡리!$T$1:$T$634,"유지",대곡리!$AF$1:$AF643)</f>
        <v>0</v>
      </c>
      <c r="N15" s="724" t="s">
        <v>26</v>
      </c>
      <c r="O15" s="728">
        <f>SUMIF(대곡리!$T$1:$T$634,"유지",대곡리!$AH$1:$AH643)</f>
        <v>0</v>
      </c>
      <c r="P15" s="726">
        <f>SUMIF(대곡리!$T$1:$T$634,"유지",대곡리!$AI$1:$AI643)</f>
        <v>0</v>
      </c>
      <c r="Q15" s="729">
        <f t="shared" si="0"/>
        <v>0</v>
      </c>
    </row>
    <row r="16" spans="1:17" s="20" customFormat="1" ht="24.95" customHeight="1" x14ac:dyDescent="0.15">
      <c r="A16" s="721" t="s">
        <v>35</v>
      </c>
      <c r="B16" s="727">
        <f>SUMIF(대곡리!$T$1:$T$634,"잡종지",대곡리!$U$1:$U644)</f>
        <v>0</v>
      </c>
      <c r="C16" s="723">
        <f>SUMIF(대곡리!$T$1:$T$634,"잡종지",대곡리!$V$1:$V644)</f>
        <v>0</v>
      </c>
      <c r="D16" s="724" t="s">
        <v>26</v>
      </c>
      <c r="E16" s="728">
        <f>SUMIF(대곡리!$T$1:$T$634,"잡종지",대곡리!$X$1:$X644)</f>
        <v>0</v>
      </c>
      <c r="F16" s="726">
        <f>SUMIF(대곡리!$T$1:$T$634,"잡종지",대곡리!$Y$1:$Y644)</f>
        <v>0</v>
      </c>
      <c r="G16" s="727">
        <f>SUMIF(대곡리!$T$1:$T$634,"잡종지",대곡리!Z$1:$Z644)</f>
        <v>0</v>
      </c>
      <c r="H16" s="723">
        <f>SUMIF(대곡리!$T$1:$T$634,"잡종지",대곡리!$AA$1:AA644)</f>
        <v>0</v>
      </c>
      <c r="I16" s="724" t="s">
        <v>26</v>
      </c>
      <c r="J16" s="728">
        <f>SUMIF(대곡리!$T$1:$T$634,"잡종지",대곡리!$AC$1:$AC644)</f>
        <v>0</v>
      </c>
      <c r="K16" s="726">
        <f>SUMIF(대곡리!$T$1:$T$634,"잡종지",대곡리!$AD$1:$AD644)</f>
        <v>0</v>
      </c>
      <c r="L16" s="727">
        <f>SUMIF(대곡리!$T$1:$T$634,"잡종지",대곡리!$AE$1:$AE644)</f>
        <v>0</v>
      </c>
      <c r="M16" s="723">
        <f>SUMIF(대곡리!$T$1:$T$634,"잡종지",대곡리!$AF$1:$AF644)</f>
        <v>0</v>
      </c>
      <c r="N16" s="724" t="s">
        <v>26</v>
      </c>
      <c r="O16" s="728">
        <f>SUMIF(대곡리!$T$1:$T$634,"잡종지",대곡리!$AH$1:$AH644)</f>
        <v>0</v>
      </c>
      <c r="P16" s="726">
        <f>SUMIF(대곡리!$T$1:$T$634,"잡종지",대곡리!$AI$1:$AI644)</f>
        <v>0</v>
      </c>
      <c r="Q16" s="732">
        <f t="shared" si="0"/>
        <v>0</v>
      </c>
    </row>
    <row r="17" spans="1:17" s="20" customFormat="1" ht="24.95" customHeight="1" x14ac:dyDescent="0.15">
      <c r="A17" s="721" t="s">
        <v>36</v>
      </c>
      <c r="B17" s="727">
        <f>SUMIF(대곡리!$T$1:$T$634,"묘지",대곡리!$U$1:$U645)</f>
        <v>0</v>
      </c>
      <c r="C17" s="723">
        <f>SUMIF(대곡리!$T$1:$T$634,"묘지",대곡리!$V$1:$V645)</f>
        <v>0</v>
      </c>
      <c r="D17" s="724" t="s">
        <v>26</v>
      </c>
      <c r="E17" s="728">
        <f>SUMIF(대곡리!$T$1:$T$634,"묘지",대곡리!$X$1:$X645)</f>
        <v>0</v>
      </c>
      <c r="F17" s="726">
        <f>SUMIF(대곡리!$T$1:$T$634,"묘지",대곡리!$Y$1:$Y645)</f>
        <v>0</v>
      </c>
      <c r="G17" s="727">
        <f>SUMIF(대곡리!$T$1:$T$634,"묘지",대곡리!Z$1:$Z645)</f>
        <v>0</v>
      </c>
      <c r="H17" s="723">
        <f>SUMIF(대곡리!$T$1:$T$634,"묘지",대곡리!$AA$1:AA645)</f>
        <v>0</v>
      </c>
      <c r="I17" s="724" t="s">
        <v>26</v>
      </c>
      <c r="J17" s="728">
        <f>SUMIF(대곡리!$T$1:$T$634,"묘지",대곡리!$AC$1:$AC645)</f>
        <v>0</v>
      </c>
      <c r="K17" s="726">
        <f>SUMIF(대곡리!$T$1:$T$634,"묘지",대곡리!$AD$1:$AD645)</f>
        <v>0</v>
      </c>
      <c r="L17" s="727">
        <f>SUMIF(대곡리!$T$1:$T$634,"묘지",대곡리!$AE$1:$AE645)</f>
        <v>0</v>
      </c>
      <c r="M17" s="723">
        <f>SUMIF(대곡리!$T$1:$T$634,"묘지",대곡리!$AF$1:$AF645)</f>
        <v>0</v>
      </c>
      <c r="N17" s="724" t="s">
        <v>26</v>
      </c>
      <c r="O17" s="728">
        <f>SUMIF(대곡리!$T$1:$T$634,"묘지",대곡리!$AH$1:$AH645)</f>
        <v>0</v>
      </c>
      <c r="P17" s="726">
        <f>SUMIF(대곡리!$T$1:$T$634,"묘지",대곡리!$AI$1:$AI645)</f>
        <v>0</v>
      </c>
      <c r="Q17" s="729">
        <f t="shared" si="0"/>
        <v>0</v>
      </c>
    </row>
    <row r="18" spans="1:17" s="20" customFormat="1" ht="24.95" hidden="1" customHeight="1" x14ac:dyDescent="0.15">
      <c r="A18" s="721" t="s">
        <v>53</v>
      </c>
      <c r="B18" s="727">
        <f>SUMIF(대곡리!$T$1:$T$634,"과수원",대곡리!$U$1:$U646)</f>
        <v>0</v>
      </c>
      <c r="C18" s="723">
        <f>SUMIF(대곡리!$T$1:$T$634,"과수원",대곡리!$V$1:$V646)</f>
        <v>0</v>
      </c>
      <c r="D18" s="724" t="s">
        <v>26</v>
      </c>
      <c r="E18" s="728">
        <f>SUMIF(대곡리!$T$1:$T$634,"과수원",대곡리!$X$1:$X646)</f>
        <v>0</v>
      </c>
      <c r="F18" s="726">
        <f>SUMIF(대곡리!$T$1:$T$634,"과수원",대곡리!$Y$1:$Y646)</f>
        <v>0</v>
      </c>
      <c r="G18" s="727">
        <f>SUMIF(대곡리!$T$1:$T$634,"과수원",대곡리!Z$1:$Z646)</f>
        <v>0</v>
      </c>
      <c r="H18" s="723">
        <f>SUMIF(대곡리!$T$1:$T$634,"과수원",대곡리!$AA$1:AA646)</f>
        <v>0</v>
      </c>
      <c r="I18" s="724" t="s">
        <v>26</v>
      </c>
      <c r="J18" s="728">
        <f>SUMIF(대곡리!$T$1:$T$634,"과수원",대곡리!$AC$1:$AC646)</f>
        <v>0</v>
      </c>
      <c r="K18" s="726">
        <f>SUMIF(대곡리!$T$1:$T$634,"과수원",대곡리!$AD$1:$AD646)</f>
        <v>0</v>
      </c>
      <c r="L18" s="727">
        <f>SUMIF(대곡리!$T$1:$T$634,"과수원",대곡리!$AE$1:$AE646)</f>
        <v>0</v>
      </c>
      <c r="M18" s="723">
        <f>SUMIF(대곡리!$T$1:$T$634,"과수원",대곡리!$AF$1:$AF646)</f>
        <v>0</v>
      </c>
      <c r="N18" s="724" t="s">
        <v>26</v>
      </c>
      <c r="O18" s="728">
        <f>SUMIF(대곡리!$T$1:$T$634,"과수원",대곡리!$AH$1:$AH646)</f>
        <v>0</v>
      </c>
      <c r="P18" s="726">
        <f>SUMIF(대곡리!$T$1:$T$634,"과수원",대곡리!$AI$1:$AI646)</f>
        <v>0</v>
      </c>
      <c r="Q18" s="732">
        <f t="shared" si="0"/>
        <v>0</v>
      </c>
    </row>
    <row r="19" spans="1:17" s="20" customFormat="1" ht="24.95" customHeight="1" x14ac:dyDescent="0.15">
      <c r="A19" s="721" t="s">
        <v>195</v>
      </c>
      <c r="B19" s="727">
        <f>SUMIF(대곡리!$T$1:$T$634,"창고용지",대곡리!$U$1:$U647)</f>
        <v>0</v>
      </c>
      <c r="C19" s="723">
        <f>SUMIF(대곡리!$T$1:$T$634,"창고용지",대곡리!$V$1:$V647)</f>
        <v>0</v>
      </c>
      <c r="D19" s="724" t="s">
        <v>26</v>
      </c>
      <c r="E19" s="728">
        <f>SUMIF(대곡리!$T$1:$T$634,"창고용지",대곡리!$X$1:$X647)</f>
        <v>0</v>
      </c>
      <c r="F19" s="726">
        <f>SUMIF(대곡리!$T$1:$T$634,"창고용지",대곡리!$Y$1:$Y647)</f>
        <v>0</v>
      </c>
      <c r="G19" s="727">
        <f>SUMIF(대곡리!$T$1:$T$634,"창고용지",대곡리!Z$1:$Z646)</f>
        <v>0</v>
      </c>
      <c r="H19" s="723">
        <f>SUMIF(대곡리!$T$1:$T$634,"창고용지",대곡리!$AA$1:AA646)</f>
        <v>0</v>
      </c>
      <c r="I19" s="724" t="s">
        <v>26</v>
      </c>
      <c r="J19" s="728">
        <f>SUMIF(대곡리!$T$1:$T$634,"창고용지",대곡리!$AC$1:$AC646)</f>
        <v>0</v>
      </c>
      <c r="K19" s="726">
        <f>SUMIF(대곡리!$T$1:$T$634,"창고용지",대곡리!$AD$1:$AD646)</f>
        <v>0</v>
      </c>
      <c r="L19" s="727">
        <f>SUMIF(대곡리!$T$1:$T$634,"창고용지",대곡리!$AE$1:$AE646)</f>
        <v>0</v>
      </c>
      <c r="M19" s="723">
        <f>SUMIF(대곡리!$T$1:$T$634,"창고용지",대곡리!$AF$1:$AF646)</f>
        <v>0</v>
      </c>
      <c r="N19" s="724" t="s">
        <v>26</v>
      </c>
      <c r="O19" s="728">
        <f>SUMIF(대곡리!$T$1:$T$634,"창고용지",대곡리!$AH$1:$AH647)</f>
        <v>0</v>
      </c>
      <c r="P19" s="726">
        <f>SUMIF(대곡리!$T$1:$T$634,"창고용지",대곡리!$AI$1:$AI647)</f>
        <v>0</v>
      </c>
      <c r="Q19" s="729">
        <f t="shared" si="0"/>
        <v>0</v>
      </c>
    </row>
    <row r="20" spans="1:17" s="20" customFormat="1" ht="24.95" customHeight="1" x14ac:dyDescent="0.15">
      <c r="A20" s="721" t="s">
        <v>358</v>
      </c>
      <c r="B20" s="727">
        <f>SUMIF(대곡리!$T$1:$T$634,"목장용지",대곡리!$U$1:$U648)</f>
        <v>1</v>
      </c>
      <c r="C20" s="723">
        <f>SUMIF(대곡리!$T$1:$T$634,"목장용지",대곡리!$V$1:$V648)</f>
        <v>1</v>
      </c>
      <c r="D20" s="724" t="s">
        <v>26</v>
      </c>
      <c r="E20" s="728">
        <f>SUMIF(대곡리!$T$1:$T$634,"목장용지",대곡리!$X$1:$X648)</f>
        <v>42</v>
      </c>
      <c r="F20" s="726">
        <f>SUMIF(대곡리!$T$1:$T$634,"목장용지",대곡리!$Y$1:$Y648)</f>
        <v>42</v>
      </c>
      <c r="G20" s="727">
        <f>SUMIF(대곡리!$T$1:$T$634,"목장용지",대곡리!Z$1:$Z648)</f>
        <v>0</v>
      </c>
      <c r="H20" s="723">
        <f>SUMIF(대곡리!$T$1:$T$634,"목장용지",대곡리!$AA$1:AA648)</f>
        <v>1</v>
      </c>
      <c r="I20" s="724" t="s">
        <v>26</v>
      </c>
      <c r="J20" s="728">
        <f>SUMIF(대곡리!$T$1:$T$634,"목장용지",대곡리!$AC$1:$AC648)</f>
        <v>0</v>
      </c>
      <c r="K20" s="726">
        <f>SUMIF(대곡리!$T$1:$T$634,"목장용지",대곡리!$AD$1:$AD648)</f>
        <v>42</v>
      </c>
      <c r="L20" s="727">
        <f>SUMIF(대곡리!$T$1:$T$634,"목장용지",대곡리!$AE$1:$AE648)</f>
        <v>1</v>
      </c>
      <c r="M20" s="723">
        <f>SUMIF(대곡리!$T$1:$T$634,"목장용지",대곡리!$AF$1:$AF648)</f>
        <v>0</v>
      </c>
      <c r="N20" s="724" t="s">
        <v>26</v>
      </c>
      <c r="O20" s="728">
        <f>SUMIF(대곡리!$T$1:$T$634,"목장용지",대곡리!$AH$1:$AH648)</f>
        <v>42</v>
      </c>
      <c r="P20" s="726">
        <f>SUMIF(대곡리!$T$1:$T$634,"목장용지",대곡리!$AI$1:$AI648)</f>
        <v>0</v>
      </c>
      <c r="Q20" s="729">
        <f t="shared" si="0"/>
        <v>0</v>
      </c>
    </row>
    <row r="21" spans="1:17" s="20" customFormat="1" ht="24.95" customHeight="1" x14ac:dyDescent="0.15">
      <c r="A21" s="741" t="s">
        <v>193</v>
      </c>
      <c r="B21" s="742">
        <f>SUMIF(대곡리!$T$1:$T$634,"학교용지",대곡리!$U$1:$U649)</f>
        <v>0</v>
      </c>
      <c r="C21" s="750">
        <f>SUMIF(대곡리!$T$1:$T$634,"학교용지",대곡리!$V$1:$V649)</f>
        <v>0</v>
      </c>
      <c r="D21" s="744" t="s">
        <v>26</v>
      </c>
      <c r="E21" s="751">
        <f>SUMIF(대곡리!$T$1:$T$634,"학교용지",대곡리!$X$1:$X649)</f>
        <v>0</v>
      </c>
      <c r="F21" s="752">
        <f>SUMIF(대곡리!$T$1:$T$634,"학교용지",대곡리!$Y$1:$Y649)</f>
        <v>0</v>
      </c>
      <c r="G21" s="742">
        <f>SUMIF(대곡리!$T$1:$T$634,"학교용지",대곡리!Z$1:$Z649)</f>
        <v>0</v>
      </c>
      <c r="H21" s="750">
        <f>SUMIF(대곡리!$T$1:$T$634,"학교용지",대곡리!$AA$1:AA649)</f>
        <v>0</v>
      </c>
      <c r="I21" s="744" t="s">
        <v>26</v>
      </c>
      <c r="J21" s="751">
        <f>SUMIF(대곡리!$T$1:$T$634,"학교용지",대곡리!$AC$1:$AC649)</f>
        <v>0</v>
      </c>
      <c r="K21" s="752">
        <f>SUMIF(대곡리!$T$1:$T$634,"학교용지",대곡리!$AD$1:$AD649)</f>
        <v>0</v>
      </c>
      <c r="L21" s="742">
        <f>SUMIF(대곡리!$T$1:$T$634,"학교용지",대곡리!$AE$1:$AE649)</f>
        <v>0</v>
      </c>
      <c r="M21" s="750">
        <f>SUMIF(대곡리!$T$1:$T$634,"학교용지",대곡리!$AF$1:$AF649)</f>
        <v>0</v>
      </c>
      <c r="N21" s="744" t="s">
        <v>26</v>
      </c>
      <c r="O21" s="751">
        <f>SUMIF(대곡리!$T$1:$T$634,"학교용지",대곡리!$AH$1:$AH649)</f>
        <v>0</v>
      </c>
      <c r="P21" s="752">
        <f>SUMIF(대곡리!$T$1:$T$634,"학교용지",대곡리!$AI$1:$AI649)</f>
        <v>0</v>
      </c>
      <c r="Q21" s="753">
        <f t="shared" si="0"/>
        <v>0</v>
      </c>
    </row>
    <row r="22" spans="1:17" s="20" customFormat="1" ht="24.95" customHeight="1" x14ac:dyDescent="0.15">
      <c r="A22" s="172" t="s">
        <v>40</v>
      </c>
      <c r="B22" s="82">
        <f>SUMIF(대곡리!$T$1:$T$634,"공장",대곡리!$U$1:$U650)</f>
        <v>0</v>
      </c>
      <c r="C22" s="183">
        <f>SUMIF(대곡리!$T$1:$T$634,"공장",대곡리!$V$1:$V650)</f>
        <v>0</v>
      </c>
      <c r="D22" s="83" t="s">
        <v>26</v>
      </c>
      <c r="E22" s="208">
        <f>SUMIF(대곡리!$T$1:$T$634,"공장",대곡리!$X$1:$X650)</f>
        <v>0</v>
      </c>
      <c r="F22" s="209">
        <f>SUMIF(대곡리!$T$1:$T$634,"공장",대곡리!$Y$1:$Y650)</f>
        <v>0</v>
      </c>
      <c r="G22" s="82">
        <f>SUMIF(대곡리!$T$1:$T$634,"공장",대곡리!Z$1:$Z650)</f>
        <v>0</v>
      </c>
      <c r="H22" s="183">
        <f>SUMIF(대곡리!$T$1:$T$634,"공장",대곡리!$AA$1:AA650)</f>
        <v>0</v>
      </c>
      <c r="I22" s="83" t="s">
        <v>26</v>
      </c>
      <c r="J22" s="84">
        <f>SUMIF(대곡리!$T$1:$T$634,"공장",대곡리!$AC$1:$AC650)</f>
        <v>0</v>
      </c>
      <c r="K22" s="185">
        <f>SUMIF(대곡리!$T$1:$T$634,"공장",대곡리!$AD$1:$AD650)</f>
        <v>0</v>
      </c>
      <c r="L22" s="82">
        <f>SUMIF(대곡리!$T$1:$T$634,"공장",대곡리!$AE$1:$AE650)</f>
        <v>0</v>
      </c>
      <c r="M22" s="183">
        <f>SUMIF(대곡리!$T$1:$T$634,"공장",대곡리!$AF$1:$AF650)</f>
        <v>0</v>
      </c>
      <c r="N22" s="83" t="s">
        <v>26</v>
      </c>
      <c r="O22" s="208">
        <f>SUMIF(대곡리!$T$1:$T$634,"공장",대곡리!$AH$1:$AH650)</f>
        <v>0</v>
      </c>
      <c r="P22" s="209">
        <f>SUMIF(대곡리!$T$1:$T$634,"공장",대곡리!$AI$1:$AI650)</f>
        <v>0</v>
      </c>
      <c r="Q22" s="173">
        <f t="shared" si="0"/>
        <v>0</v>
      </c>
    </row>
    <row r="23" spans="1:17" s="20" customFormat="1" ht="24.95" customHeight="1" thickBot="1" x14ac:dyDescent="0.2">
      <c r="A23" s="167" t="s">
        <v>56</v>
      </c>
      <c r="B23" s="168">
        <f>SUMIF(대곡리!$T$1:$T$634,"기타",대곡리!$U$1:$U651)</f>
        <v>0</v>
      </c>
      <c r="C23" s="184">
        <f>SUMIF(대곡리!$T$1:$T$634,"기타",대곡리!$V$1:$V651)</f>
        <v>0</v>
      </c>
      <c r="D23" s="169" t="s">
        <v>26</v>
      </c>
      <c r="E23" s="170">
        <f>SUMIF(대곡리!$T$1:$T$634,"기타",대곡리!$X$1:$X651)</f>
        <v>0</v>
      </c>
      <c r="F23" s="186">
        <f>SUMIF(대곡리!$T$1:$T$634,"기타",대곡리!$Y$1:$Y651)</f>
        <v>0</v>
      </c>
      <c r="G23" s="168">
        <f>SUMIF(대곡리!$T$1:$T$634,"기타",대곡리!Z$1:$Z651)</f>
        <v>0</v>
      </c>
      <c r="H23" s="175">
        <f>SUMIF(대곡리!$T$1:$T$634,"기타",대곡리!$AA$1:AA651)</f>
        <v>0</v>
      </c>
      <c r="I23" s="169" t="s">
        <v>26</v>
      </c>
      <c r="J23" s="170">
        <f>SUMIF(대곡리!$T$1:$T$634,"기타",대곡리!$AC$1:$AC651)</f>
        <v>0</v>
      </c>
      <c r="K23" s="176">
        <f>SUMIF(대곡리!$T$1:$T$634,"기타",대곡리!$AD$1:$AD651)</f>
        <v>0</v>
      </c>
      <c r="L23" s="168">
        <f>SUMIF(대곡리!$T$1:$T$634,"기타",대곡리!$AE$1:$AE651)</f>
        <v>0</v>
      </c>
      <c r="M23" s="175">
        <f>SUMIF(대곡리!$T$1:$T$634,"기타",대곡리!$AF$1:$AF651)</f>
        <v>0</v>
      </c>
      <c r="N23" s="169" t="s">
        <v>26</v>
      </c>
      <c r="O23" s="170">
        <f>SUMIF(대곡리!$T$1:$T$634,"기타",대곡리!$AH$1:$AH651)</f>
        <v>0</v>
      </c>
      <c r="P23" s="176">
        <f>SUMIF(대곡리!$T$1:$T$634,"기타",대곡리!$AI$1:$AI651)</f>
        <v>0</v>
      </c>
      <c r="Q23" s="171">
        <f t="shared" si="0"/>
        <v>0</v>
      </c>
    </row>
    <row r="24" spans="1:17" ht="24.95" customHeight="1" x14ac:dyDescent="0.15">
      <c r="A24" s="704" t="s">
        <v>65</v>
      </c>
      <c r="B24" s="704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</row>
    <row r="25" spans="1:17" s="20" customFormat="1" ht="24.95" customHeight="1" thickBot="1" x14ac:dyDescent="0.2">
      <c r="A25" s="163"/>
      <c r="B25" s="164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65" t="s">
        <v>217</v>
      </c>
    </row>
    <row r="26" spans="1:17" s="20" customFormat="1" ht="24.95" customHeight="1" x14ac:dyDescent="0.15">
      <c r="A26" s="1079" t="s">
        <v>23</v>
      </c>
      <c r="B26" s="706" t="s">
        <v>24</v>
      </c>
      <c r="C26" s="706"/>
      <c r="D26" s="706"/>
      <c r="E26" s="706"/>
      <c r="F26" s="707"/>
      <c r="G26" s="706" t="s">
        <v>57</v>
      </c>
      <c r="H26" s="706"/>
      <c r="I26" s="706"/>
      <c r="J26" s="706"/>
      <c r="K26" s="707"/>
      <c r="L26" s="706" t="s">
        <v>41</v>
      </c>
      <c r="M26" s="706"/>
      <c r="N26" s="706"/>
      <c r="O26" s="706"/>
      <c r="P26" s="706"/>
      <c r="Q26" s="1073" t="s">
        <v>66</v>
      </c>
    </row>
    <row r="27" spans="1:17" s="20" customFormat="1" ht="24.95" customHeight="1" x14ac:dyDescent="0.15">
      <c r="A27" s="1080"/>
      <c r="B27" s="1076" t="s">
        <v>63</v>
      </c>
      <c r="C27" s="1078"/>
      <c r="D27" s="708" t="s">
        <v>26</v>
      </c>
      <c r="E27" s="1076" t="s">
        <v>43</v>
      </c>
      <c r="F27" s="1077"/>
      <c r="G27" s="1076" t="s">
        <v>63</v>
      </c>
      <c r="H27" s="1078"/>
      <c r="I27" s="708" t="s">
        <v>26</v>
      </c>
      <c r="J27" s="1076" t="s">
        <v>43</v>
      </c>
      <c r="K27" s="1077"/>
      <c r="L27" s="1076" t="s">
        <v>63</v>
      </c>
      <c r="M27" s="1077"/>
      <c r="N27" s="708" t="s">
        <v>26</v>
      </c>
      <c r="O27" s="1076" t="s">
        <v>43</v>
      </c>
      <c r="P27" s="1077"/>
      <c r="Q27" s="1074"/>
    </row>
    <row r="28" spans="1:17" s="20" customFormat="1" ht="24.95" customHeight="1" x14ac:dyDescent="0.15">
      <c r="A28" s="1081"/>
      <c r="B28" s="709" t="s">
        <v>61</v>
      </c>
      <c r="C28" s="709" t="s">
        <v>62</v>
      </c>
      <c r="D28" s="711" t="s">
        <v>26</v>
      </c>
      <c r="E28" s="709" t="s">
        <v>61</v>
      </c>
      <c r="F28" s="710" t="s">
        <v>62</v>
      </c>
      <c r="G28" s="709" t="s">
        <v>61</v>
      </c>
      <c r="H28" s="709" t="s">
        <v>62</v>
      </c>
      <c r="I28" s="711" t="s">
        <v>26</v>
      </c>
      <c r="J28" s="709" t="s">
        <v>61</v>
      </c>
      <c r="K28" s="710" t="s">
        <v>62</v>
      </c>
      <c r="L28" s="709" t="s">
        <v>61</v>
      </c>
      <c r="M28" s="709" t="s">
        <v>62</v>
      </c>
      <c r="N28" s="711" t="s">
        <v>26</v>
      </c>
      <c r="O28" s="709" t="s">
        <v>61</v>
      </c>
      <c r="P28" s="710" t="s">
        <v>62</v>
      </c>
      <c r="Q28" s="1075"/>
    </row>
    <row r="29" spans="1:17" s="20" customFormat="1" ht="24.95" customHeight="1" x14ac:dyDescent="0.15">
      <c r="A29" s="712" t="s">
        <v>24</v>
      </c>
      <c r="B29" s="713">
        <f>SUM(B30:B46)</f>
        <v>125</v>
      </c>
      <c r="C29" s="733">
        <f>SUMIF(두미리!$T$1:$T$417,"계",두미리!$V$1:$V656)</f>
        <v>117</v>
      </c>
      <c r="D29" s="715" t="s">
        <v>26</v>
      </c>
      <c r="E29" s="734">
        <f>SUMIF(두미리!$T$1:$T$417,"계",두미리!$X$1:$X656)</f>
        <v>57628</v>
      </c>
      <c r="F29" s="717">
        <f>SUMIF(두미리!$T$1:$T$417,"계",두미리!$Y$1:$Y656)</f>
        <v>56118</v>
      </c>
      <c r="G29" s="713">
        <f>SUMIF(두미리!$T$1:$T$417,"계",두미리!Z$1:$Z656)</f>
        <v>14</v>
      </c>
      <c r="H29" s="733">
        <f>SUMIF(두미리!$T$1:$T$417,"계",두미리!$AA$1:AA656)</f>
        <v>117</v>
      </c>
      <c r="I29" s="715" t="s">
        <v>26</v>
      </c>
      <c r="J29" s="734">
        <f>SUMIF(두미리!$T$1:$T$417,"계",두미리!$AC$1:$AC656)</f>
        <v>6113</v>
      </c>
      <c r="K29" s="717">
        <f>SUMIF(두미리!$T$1:$T$417,"계",두미리!$AD$1:$AD656)</f>
        <v>56118</v>
      </c>
      <c r="L29" s="713">
        <f>SUMIF(두미리!$T$1:$T$417,"계",두미리!$AE$1:$AE656)</f>
        <v>111</v>
      </c>
      <c r="M29" s="733">
        <f>SUMIF(두미리!$T$1:$T$417,"계",두미리!$AF$1:$AF656)</f>
        <v>0</v>
      </c>
      <c r="N29" s="715" t="s">
        <v>26</v>
      </c>
      <c r="O29" s="734">
        <f>SUMIF(두미리!$T$1:$T$417,"계",두미리!$AH$1:$AH656)</f>
        <v>51515</v>
      </c>
      <c r="P29" s="717">
        <f>SUMIF(두미리!$T$1:$T$417,"계",두미리!$AI$1:$AI656)</f>
        <v>0</v>
      </c>
      <c r="Q29" s="735">
        <f>F29-E29</f>
        <v>-1510</v>
      </c>
    </row>
    <row r="30" spans="1:17" s="20" customFormat="1" ht="24.95" customHeight="1" x14ac:dyDescent="0.15">
      <c r="A30" s="721" t="s">
        <v>27</v>
      </c>
      <c r="B30" s="727">
        <f>SUMIF(두미리!$T$1:$T$417,"전",두미리!$U$1:$U657)</f>
        <v>34</v>
      </c>
      <c r="C30" s="736">
        <f>SUMIF(두미리!$T$1:$T$417,"전",두미리!$V$1:$V657)</f>
        <v>31</v>
      </c>
      <c r="D30" s="724" t="s">
        <v>26</v>
      </c>
      <c r="E30" s="737">
        <f>SUMIF(두미리!$T$1:$T$417,"전",두미리!$X$1:$X657)</f>
        <v>9231</v>
      </c>
      <c r="F30" s="731">
        <f>SUMIF(두미리!$T$1:$T$417,"전",두미리!$Y$1:$Y657)</f>
        <v>8796</v>
      </c>
      <c r="G30" s="727">
        <f>SUMIF(두미리!$T$1:$T$417,"전",두미리!Z$1:$Z657)</f>
        <v>0</v>
      </c>
      <c r="H30" s="736">
        <f>SUMIF(두미리!$T$1:$T$417,"전",두미리!$AA$1:AA657)</f>
        <v>31</v>
      </c>
      <c r="I30" s="724" t="s">
        <v>26</v>
      </c>
      <c r="J30" s="737">
        <f>SUMIF(두미리!$T$1:$T$417,"전",두미리!$AC$1:$AC657)</f>
        <v>0</v>
      </c>
      <c r="K30" s="731">
        <f>SUMIF(두미리!$T$1:$T$417,"전",두미리!$AD$1:$AD657)</f>
        <v>8796</v>
      </c>
      <c r="L30" s="727">
        <f>SUMIF(두미리!$T$1:$T$417,"전",두미리!$AE$1:$AE657)</f>
        <v>34</v>
      </c>
      <c r="M30" s="736">
        <f>SUMIF(두미리!$T$1:$T$417,"전",두미리!$AF$1:$AF657)</f>
        <v>0</v>
      </c>
      <c r="N30" s="724" t="s">
        <v>26</v>
      </c>
      <c r="O30" s="737">
        <f>SUMIF(두미리!$T$1:$T$417,"전",두미리!$AH$1:$AH657)</f>
        <v>9231</v>
      </c>
      <c r="P30" s="731">
        <f>SUMIF(두미리!$T$1:$T$417,"전",두미리!$AI$1:$AI657)</f>
        <v>0</v>
      </c>
      <c r="Q30" s="738">
        <f t="shared" ref="Q30:Q46" si="1">F30-E30</f>
        <v>-435</v>
      </c>
    </row>
    <row r="31" spans="1:17" s="20" customFormat="1" ht="24.95" customHeight="1" x14ac:dyDescent="0.15">
      <c r="A31" s="721" t="s">
        <v>28</v>
      </c>
      <c r="B31" s="727">
        <f>SUMIF(두미리!$T$1:$T$417,"답",두미리!$U$1:$U658)</f>
        <v>36</v>
      </c>
      <c r="C31" s="736">
        <f>SUMIF(두미리!$T$1:$T$417,"답",두미리!$V$1:$V658)</f>
        <v>34</v>
      </c>
      <c r="D31" s="724" t="s">
        <v>26</v>
      </c>
      <c r="E31" s="737">
        <f>SUMIF(두미리!$T$1:$T$417,"답",두미리!$X$1:$X658)</f>
        <v>15351</v>
      </c>
      <c r="F31" s="731">
        <f>SUMIF(두미리!T$1:$T$417,"답",두미리!$Y$1:$Y658)</f>
        <v>14623</v>
      </c>
      <c r="G31" s="727">
        <f>SUMIF(두미리!$T$1:$T$417,"답",두미리!Z$1:$Z658)</f>
        <v>0</v>
      </c>
      <c r="H31" s="736">
        <f>SUMIF(두미리!$T$1:$T$417,"답",두미리!$AA$1:AA658)</f>
        <v>34</v>
      </c>
      <c r="I31" s="724" t="s">
        <v>26</v>
      </c>
      <c r="J31" s="737">
        <f>SUMIF(두미리!$T$1:$T$417,"답",두미리!$AC$1:$AC658)</f>
        <v>0</v>
      </c>
      <c r="K31" s="731">
        <f>SUMIF(두미리!$T$1:$T$417,"답",두미리!$AD$1:$AD658)</f>
        <v>14623</v>
      </c>
      <c r="L31" s="727">
        <f>SUMIF(두미리!$T$1:$T$417,"답",두미리!$AE$1:$AE658)</f>
        <v>36</v>
      </c>
      <c r="M31" s="736">
        <f>SUMIF(두미리!$T$1:$T$417,"답",두미리!$AF$1:$AF658)</f>
        <v>0</v>
      </c>
      <c r="N31" s="724" t="s">
        <v>26</v>
      </c>
      <c r="O31" s="737">
        <f>SUMIF(두미리!$T$1:$T$417,"답",두미리!$AH$1:$AH658)</f>
        <v>15351</v>
      </c>
      <c r="P31" s="731">
        <f>SUMIF(두미리!$T$1:$T$417,"답",두미리!$AI$1:$AI658)</f>
        <v>0</v>
      </c>
      <c r="Q31" s="738">
        <f t="shared" si="1"/>
        <v>-728</v>
      </c>
    </row>
    <row r="32" spans="1:17" s="20" customFormat="1" ht="24.95" customHeight="1" x14ac:dyDescent="0.15">
      <c r="A32" s="721" t="s">
        <v>29</v>
      </c>
      <c r="B32" s="727">
        <f>SUMIF(두미리!$T$1:$T$417,"대지",두미리!$U$1:$U659)</f>
        <v>14</v>
      </c>
      <c r="C32" s="736">
        <f>SUMIF(두미리!$T$1:$T$417,"대지",두미리!$V$1:$V659)</f>
        <v>14</v>
      </c>
      <c r="D32" s="724" t="s">
        <v>26</v>
      </c>
      <c r="E32" s="737">
        <f>SUMIF(두미리!$T$1:$T$417,"대지",두미리!$X$1:$X659)</f>
        <v>2505</v>
      </c>
      <c r="F32" s="731">
        <f>SUMIF(두미리!$T$1:$T$417,"대지",두미리!$Y$1:$Y659)</f>
        <v>2505</v>
      </c>
      <c r="G32" s="727">
        <f>SUMIF(두미리!$T$1:$T$417,"대지",두미리!Z$1:$Z659)</f>
        <v>1</v>
      </c>
      <c r="H32" s="736">
        <f>SUMIF(두미리!$T$1:$T$417,"대지",두미리!$AA$1:AA659)</f>
        <v>14</v>
      </c>
      <c r="I32" s="724" t="s">
        <v>26</v>
      </c>
      <c r="J32" s="737">
        <f>SUMIF(두미리!$T$1:$T$417,"대지",두미리!$AC$1:$AC659)</f>
        <v>129</v>
      </c>
      <c r="K32" s="731">
        <f>SUMIF(두미리!$T$1:$T$417,"대지",두미리!$AD$1:$AD659)</f>
        <v>2505</v>
      </c>
      <c r="L32" s="727">
        <f>SUMIF(두미리!$T$1:$T$417,"대지",두미리!$AE$1:$AE659)</f>
        <v>13</v>
      </c>
      <c r="M32" s="736">
        <f>SUMIF(두미리!$T$1:$T$417,"대지",두미리!$AF$1:$AF659)</f>
        <v>0</v>
      </c>
      <c r="N32" s="724" t="s">
        <v>26</v>
      </c>
      <c r="O32" s="737">
        <f>SUMIF(두미리!$T$1:$T$417,"대지",두미리!$AH$1:$AH659)</f>
        <v>2376</v>
      </c>
      <c r="P32" s="731">
        <f>SUMIF(두미리!$T$1:$T$417,"대지",두미리!$AI$1:$AI659)</f>
        <v>0</v>
      </c>
      <c r="Q32" s="738">
        <f t="shared" si="1"/>
        <v>0</v>
      </c>
    </row>
    <row r="33" spans="1:17" s="20" customFormat="1" ht="24.95" customHeight="1" x14ac:dyDescent="0.15">
      <c r="A33" s="721" t="s">
        <v>30</v>
      </c>
      <c r="B33" s="727">
        <f>SUMIF(두미리!$T$1:$T$417,"임야",두미리!$U$1:$U660)</f>
        <v>17</v>
      </c>
      <c r="C33" s="736">
        <f>SUMIF(두미리!$T$1:$T$417,"임야",두미리!$V$1:$V660)</f>
        <v>15</v>
      </c>
      <c r="D33" s="724" t="s">
        <v>26</v>
      </c>
      <c r="E33" s="737">
        <f>SUMIF(두미리!$T$1:$T$417,"임야",두미리!$X$1:$X660)</f>
        <v>23334</v>
      </c>
      <c r="F33" s="731">
        <f>SUMIF(두미리!$T$1:$T$417,"임야",두미리!$Y$1:$Y660)</f>
        <v>23052</v>
      </c>
      <c r="G33" s="727">
        <f>SUMIF(두미리!$T$1:$T$417,"임야",두미리!Z$1:$Z660)</f>
        <v>0</v>
      </c>
      <c r="H33" s="736">
        <f>SUMIF(두미리!$T$1:$T$417,"임야",두미리!$AA$1:AA660)</f>
        <v>15</v>
      </c>
      <c r="I33" s="724" t="s">
        <v>26</v>
      </c>
      <c r="J33" s="737">
        <f>SUMIF(두미리!$T$1:$T$417,"임야",두미리!$AC$1:$AC660)</f>
        <v>0</v>
      </c>
      <c r="K33" s="731">
        <f>SUMIF(두미리!$T$1:$T$417,"임야",두미리!$AD$1:$AD660)</f>
        <v>23052</v>
      </c>
      <c r="L33" s="727">
        <f>SUMIF(두미리!$T$1:$T$417,"임야",두미리!$AE$1:$AE660)</f>
        <v>17</v>
      </c>
      <c r="M33" s="736">
        <f>SUMIF(두미리!$T$1:$T$417,"임야",두미리!$AF$1:$AF660)</f>
        <v>0</v>
      </c>
      <c r="N33" s="724" t="s">
        <v>26</v>
      </c>
      <c r="O33" s="737">
        <f>SUMIF(두미리!$T$1:$T$417,"임야",두미리!$AH$1:$AH660)</f>
        <v>23334</v>
      </c>
      <c r="P33" s="731">
        <f>SUMIF(두미리!$T$1:$T$417,"임야",두미리!$AI$1:$AI660)</f>
        <v>0</v>
      </c>
      <c r="Q33" s="738">
        <f t="shared" si="1"/>
        <v>-282</v>
      </c>
    </row>
    <row r="34" spans="1:17" s="20" customFormat="1" ht="24.95" customHeight="1" x14ac:dyDescent="0.15">
      <c r="A34" s="721" t="s">
        <v>31</v>
      </c>
      <c r="B34" s="727">
        <f>SUMIF(두미리!$T$1:$T$417,"도로",두미리!$U$1:$U661)</f>
        <v>8</v>
      </c>
      <c r="C34" s="736">
        <f>SUMIF(두미리!$T$1:$T$417,"도로",두미리!$V$1:$V661)</f>
        <v>8</v>
      </c>
      <c r="D34" s="724" t="s">
        <v>26</v>
      </c>
      <c r="E34" s="737">
        <f>SUMIF(두미리!$T$1:$T$417,"도로",두미리!$X$1:$X661)</f>
        <v>559</v>
      </c>
      <c r="F34" s="731">
        <f>SUMIF(두미리!$T$1:$T$417,"도로",두미리!$Y$1:$Y661)</f>
        <v>559</v>
      </c>
      <c r="G34" s="727">
        <f>SUMIF(두미리!$T$1:$T$417,"도로",두미리!Z$1:$Z661)</f>
        <v>6</v>
      </c>
      <c r="H34" s="736">
        <f>SUMIF(두미리!$T$1:$T$417,"도로",두미리!$AA$1:AA661)</f>
        <v>8</v>
      </c>
      <c r="I34" s="724" t="s">
        <v>26</v>
      </c>
      <c r="J34" s="737">
        <f>SUMIF(두미리!$T$1:$T$417,"도로",두미리!$AC$1:$AC661)</f>
        <v>310</v>
      </c>
      <c r="K34" s="731">
        <f>SUMIF(두미리!$T$1:$T$417,"도로",두미리!$AD$1:$AD661)</f>
        <v>559</v>
      </c>
      <c r="L34" s="727">
        <f>SUMIF(두미리!$T$1:$T$417,"도로",두미리!$AE$1:$AE661)</f>
        <v>2</v>
      </c>
      <c r="M34" s="736">
        <f>SUMIF(두미리!$T$1:$T$417,"도로",두미리!$AF$1:$AF661)</f>
        <v>0</v>
      </c>
      <c r="N34" s="724" t="s">
        <v>26</v>
      </c>
      <c r="O34" s="737">
        <f>SUMIF(두미리!$T$1:$T$417,"도로",두미리!$AH$1:$AH661)</f>
        <v>249</v>
      </c>
      <c r="P34" s="731">
        <f>SUMIF(두미리!$T$1:$T$417,"도로",두미리!$AI$1:$AI661)</f>
        <v>0</v>
      </c>
      <c r="Q34" s="738">
        <f t="shared" si="1"/>
        <v>0</v>
      </c>
    </row>
    <row r="35" spans="1:17" s="20" customFormat="1" ht="24.95" customHeight="1" x14ac:dyDescent="0.15">
      <c r="A35" s="721" t="s">
        <v>32</v>
      </c>
      <c r="B35" s="727">
        <f>SUMIF(두미리!$T$1:$T$417,"하천",두미리!$U$1:$U662)</f>
        <v>7</v>
      </c>
      <c r="C35" s="736">
        <f>SUMIF(두미리!$T$1:$T$417,"하천",두미리!$V$1:$V662)</f>
        <v>7</v>
      </c>
      <c r="D35" s="724" t="s">
        <v>26</v>
      </c>
      <c r="E35" s="737">
        <f>SUMIF(두미리!$T$1:$T$417,"하천",두미리!$X$1:$X662)</f>
        <v>5615</v>
      </c>
      <c r="F35" s="731">
        <f>SUMIF(두미리!$T$1:$T$417,"하천",두미리!$Y$1:$Y662)</f>
        <v>5559</v>
      </c>
      <c r="G35" s="727">
        <f>SUMIF(두미리!$T$1:$T$417,"하천",두미리!Z$1:$Z662)</f>
        <v>6</v>
      </c>
      <c r="H35" s="736">
        <f>SUMIF(두미리!$T$1:$T$417,"하천",두미리!$AA$1:AA662)</f>
        <v>7</v>
      </c>
      <c r="I35" s="724" t="s">
        <v>26</v>
      </c>
      <c r="J35" s="737">
        <f>SUMIF(두미리!$T$1:$T$417,"하천",두미리!$AC$1:$AC662)</f>
        <v>5606</v>
      </c>
      <c r="K35" s="731">
        <f>SUMIF(두미리!$T$1:$T$417,"하천",두미리!$AD$1:$AD662)</f>
        <v>5559</v>
      </c>
      <c r="L35" s="727">
        <f>SUMIF(두미리!$T$1:$T$417,"하천",두미리!$AE$1:$AE662)</f>
        <v>1</v>
      </c>
      <c r="M35" s="736">
        <f>SUMIF(두미리!$T$1:$T$417,"하천",두미리!$AF$1:$AF662)</f>
        <v>0</v>
      </c>
      <c r="N35" s="724" t="s">
        <v>26</v>
      </c>
      <c r="O35" s="737">
        <f>SUMIF(두미리!$T$1:$T$417,"하천",두미리!$AH$1:$AH662)</f>
        <v>9</v>
      </c>
      <c r="P35" s="731">
        <f>SUMIF(두미리!$T$1:$T$417,"하천",두미리!$AI$1:$AI662)</f>
        <v>0</v>
      </c>
      <c r="Q35" s="738">
        <f t="shared" si="1"/>
        <v>-56</v>
      </c>
    </row>
    <row r="36" spans="1:17" s="20" customFormat="1" ht="24.95" customHeight="1" x14ac:dyDescent="0.15">
      <c r="A36" s="721" t="s">
        <v>33</v>
      </c>
      <c r="B36" s="727">
        <f>SUMIF(두미리!$T$1:$T$417,"구거",두미리!$U$1:$U663)</f>
        <v>1</v>
      </c>
      <c r="C36" s="736">
        <f>SUMIF(두미리!$T$1:$T$417,"구거",두미리!$V$1:$V663)</f>
        <v>1</v>
      </c>
      <c r="D36" s="724" t="s">
        <v>26</v>
      </c>
      <c r="E36" s="737">
        <f>SUMIF(두미리!$T$1:$T$417,"구거",두미리!$X$1:$X663)</f>
        <v>68</v>
      </c>
      <c r="F36" s="731">
        <f>SUMIF(두미리!$T$1:$T$417,"구거",두미리!$Y$1:$Y663)</f>
        <v>68</v>
      </c>
      <c r="G36" s="727">
        <f>SUMIF(두미리!$T$1:$T$417,"구거",두미리!Z$1:$Z663)</f>
        <v>1</v>
      </c>
      <c r="H36" s="736">
        <f>SUMIF(두미리!$T$1:$T$417,"구거",두미리!$AA$1:AA663)</f>
        <v>1</v>
      </c>
      <c r="I36" s="724" t="s">
        <v>26</v>
      </c>
      <c r="J36" s="737">
        <f>SUMIF(두미리!$T$1:$T$417,"구거",두미리!$AC$1:$AC663)</f>
        <v>68</v>
      </c>
      <c r="K36" s="731">
        <f>SUMIF(두미리!$T$1:$T$417,"구거",두미리!$AD$1:$AD663)</f>
        <v>68</v>
      </c>
      <c r="L36" s="727">
        <f>SUMIF(두미리!$T$1:$T$417,"구거",두미리!$AE$1:$AE663)</f>
        <v>0</v>
      </c>
      <c r="M36" s="736">
        <f>SUMIF(두미리!$T$1:$T$417,"구거",두미리!$AF$1:$AF663)</f>
        <v>0</v>
      </c>
      <c r="N36" s="724" t="s">
        <v>26</v>
      </c>
      <c r="O36" s="737">
        <f>SUMIF(두미리!$T$1:$T$417,"구거",두미리!$AH$1:$AH663)</f>
        <v>0</v>
      </c>
      <c r="P36" s="731">
        <f>SUMIF(두미리!$T$1:$T$417,"구거",두미리!$AI$1:$AI663)</f>
        <v>0</v>
      </c>
      <c r="Q36" s="738">
        <f t="shared" si="1"/>
        <v>0</v>
      </c>
    </row>
    <row r="37" spans="1:17" s="20" customFormat="1" ht="24.95" customHeight="1" x14ac:dyDescent="0.15">
      <c r="A37" s="721" t="s">
        <v>34</v>
      </c>
      <c r="B37" s="727">
        <f>SUMIF(두미리!$T$1:$T$417,"제방",두미리!$U$1:$U664)</f>
        <v>0</v>
      </c>
      <c r="C37" s="739">
        <f>SUMIF(두미리!$T$1:$T$417,"제방",두미리!$V$1:$V664)</f>
        <v>0</v>
      </c>
      <c r="D37" s="724" t="s">
        <v>26</v>
      </c>
      <c r="E37" s="737">
        <f>SUMIF(두미리!$T$1:$T$417,"제방",두미리!$X$1:$X664)</f>
        <v>0</v>
      </c>
      <c r="F37" s="740">
        <f>SUMIF(두미리!$T$1:$T$417,"제방",두미리!$Y$1:$Y664)</f>
        <v>0</v>
      </c>
      <c r="G37" s="727">
        <f>SUMIF(두미리!$T$1:$T$417,"제방",두미리!Z$1:$Z664)</f>
        <v>0</v>
      </c>
      <c r="H37" s="736">
        <f>SUMIF(두미리!$T$1:$T$417,"제방",두미리!$AA$1:AA664)</f>
        <v>0</v>
      </c>
      <c r="I37" s="724" t="s">
        <v>26</v>
      </c>
      <c r="J37" s="737">
        <f>SUMIF(두미리!$T$1:$T$417,"제방",두미리!$AC$1:$AC664)</f>
        <v>0</v>
      </c>
      <c r="K37" s="731">
        <f>SUMIF(두미리!$T$1:$T$417,"제방",두미리!$AD$1:$AD664)</f>
        <v>0</v>
      </c>
      <c r="L37" s="727">
        <f>SUMIF(두미리!$T$1:$T$417,"제방",두미리!$AE$1:$AE664)</f>
        <v>0</v>
      </c>
      <c r="M37" s="736">
        <f>SUMIF(두미리!$T$1:$T$417,"제방",두미리!$AF$1:$AF664)</f>
        <v>0</v>
      </c>
      <c r="N37" s="724" t="s">
        <v>26</v>
      </c>
      <c r="O37" s="737">
        <f>SUMIF(두미리!$T$1:$T$417,"제방",두미리!$AH$1:$AH664)</f>
        <v>0</v>
      </c>
      <c r="P37" s="731">
        <f>SUMIF(두미리!$T$1:$T$417,"제방",두미리!$AI$1:$AI664)</f>
        <v>0</v>
      </c>
      <c r="Q37" s="738">
        <f t="shared" si="1"/>
        <v>0</v>
      </c>
    </row>
    <row r="38" spans="1:17" s="20" customFormat="1" ht="24.95" hidden="1" customHeight="1" x14ac:dyDescent="0.15">
      <c r="A38" s="721" t="s">
        <v>15</v>
      </c>
      <c r="B38" s="727">
        <f>SUMIF(두미리!$T$1:$T$417,"유지",두미리!$U$1:$U665)</f>
        <v>0</v>
      </c>
      <c r="C38" s="739">
        <f>SUMIF(두미리!$T$1:$T$417,"유지",두미리!$V$1:$V665)</f>
        <v>0</v>
      </c>
      <c r="D38" s="724" t="s">
        <v>26</v>
      </c>
      <c r="E38" s="737">
        <f>SUMIF(두미리!$T$1:$T$417,"유지",두미리!$X$1:$X665)</f>
        <v>0</v>
      </c>
      <c r="F38" s="740">
        <f>SUMIF(두미리!$T$1:$T$417,"유지",두미리!$Y$1:$Y665)</f>
        <v>0</v>
      </c>
      <c r="G38" s="727">
        <f>SUMIF(두미리!$T$1:$T$417,"유지",두미리!Z$1:$Z665)</f>
        <v>0</v>
      </c>
      <c r="H38" s="736">
        <f>SUMIF(두미리!$T$1:$T$417,"유지",두미리!$AA$1:AA665)</f>
        <v>0</v>
      </c>
      <c r="I38" s="724" t="s">
        <v>26</v>
      </c>
      <c r="J38" s="737">
        <f>SUMIF(두미리!$T$1:$T$417,"유지",두미리!$AC$1:$AC665)</f>
        <v>0</v>
      </c>
      <c r="K38" s="731">
        <f>SUMIF(두미리!$T$1:$T$417,"유지",두미리!$AD$1:$AD665)</f>
        <v>0</v>
      </c>
      <c r="L38" s="727">
        <f>SUMIF(두미리!$T$1:$T$417,"유지",두미리!$AE$1:$AE665)</f>
        <v>0</v>
      </c>
      <c r="M38" s="736">
        <f>SUMIF(두미리!$T$1:$T$417,"유지",두미리!$AF$1:$AF665)</f>
        <v>0</v>
      </c>
      <c r="N38" s="724" t="s">
        <v>26</v>
      </c>
      <c r="O38" s="737">
        <f>SUMIF(두미리!$T$1:$T$417,"유지",두미리!$AH$1:$AH665)</f>
        <v>0</v>
      </c>
      <c r="P38" s="731">
        <f>SUMIF(두미리!$T$1:$T$417,"유지",두미리!$AI$1:$AI665)</f>
        <v>0</v>
      </c>
      <c r="Q38" s="738">
        <f t="shared" si="1"/>
        <v>0</v>
      </c>
    </row>
    <row r="39" spans="1:17" s="20" customFormat="1" ht="24.95" customHeight="1" x14ac:dyDescent="0.15">
      <c r="A39" s="721" t="s">
        <v>35</v>
      </c>
      <c r="B39" s="727">
        <f>SUMIF(두미리!$T$1:$T$417,"잡종지",두미리!$U$1:$U666)</f>
        <v>1</v>
      </c>
      <c r="C39" s="739">
        <f>SUMIF(두미리!$T$1:$T$417,"잡종지",두미리!$V$1:$V666)</f>
        <v>1</v>
      </c>
      <c r="D39" s="724" t="s">
        <v>26</v>
      </c>
      <c r="E39" s="737">
        <f>SUMIF(두미리!$T$1:$T$417,"잡종지",두미리!$X$1:$X666)</f>
        <v>124</v>
      </c>
      <c r="F39" s="740">
        <f>SUMIF(두미리!$T$1:$T$417,"잡종지",두미리!$Y$1:$Y666)</f>
        <v>124</v>
      </c>
      <c r="G39" s="727">
        <f>SUMIF(두미리!$T$1:$T$417,"잡종지",두미리!Z$1:$Z666)</f>
        <v>0</v>
      </c>
      <c r="H39" s="736">
        <f>SUMIF(두미리!$T$1:$T$417,"잡종지",두미리!$AA$1:AA666)</f>
        <v>1</v>
      </c>
      <c r="I39" s="724" t="s">
        <v>26</v>
      </c>
      <c r="J39" s="737">
        <f>SUMIF(두미리!$T$1:$T$417,"잡종지",두미리!$AC$1:$AC666)</f>
        <v>0</v>
      </c>
      <c r="K39" s="731">
        <f>SUMIF(두미리!$T$1:$T$417,"잡종지",두미리!$AD$1:$AD666)</f>
        <v>124</v>
      </c>
      <c r="L39" s="727">
        <f>SUMIF(두미리!$T$1:$T$417,"잡종지",두미리!$AE$1:$AE666)</f>
        <v>1</v>
      </c>
      <c r="M39" s="736">
        <f>SUMIF(두미리!$T$1:$T$417,"잡종지",두미리!$AF$1:$AF666)</f>
        <v>0</v>
      </c>
      <c r="N39" s="724" t="s">
        <v>26</v>
      </c>
      <c r="O39" s="737">
        <f>SUMIF(두미리!$T$1:$T$417,"잡종지",두미리!$AH$1:$AH666)</f>
        <v>124</v>
      </c>
      <c r="P39" s="731">
        <f>SUMIF(두미리!$T$1:$T$417,"잡종지",두미리!$AI$1:$AI666)</f>
        <v>0</v>
      </c>
      <c r="Q39" s="738">
        <f t="shared" si="1"/>
        <v>0</v>
      </c>
    </row>
    <row r="40" spans="1:17" s="20" customFormat="1" ht="24.95" customHeight="1" x14ac:dyDescent="0.15">
      <c r="A40" s="721" t="s">
        <v>36</v>
      </c>
      <c r="B40" s="727">
        <f>SUMIF(두미리!$T$1:$T$417,"묘지",두미리!$U$1:$U667)</f>
        <v>0</v>
      </c>
      <c r="C40" s="736">
        <f>SUMIF(두미리!$T$1:$T$417,"묘지",두미리!$V$1:$V667)</f>
        <v>0</v>
      </c>
      <c r="D40" s="724" t="s">
        <v>26</v>
      </c>
      <c r="E40" s="737">
        <f>SUMIF(두미리!$T$1:$T$417,"묘지",두미리!$X$1:$X667)</f>
        <v>0</v>
      </c>
      <c r="F40" s="731">
        <f>SUMIF(두미리!$T$1:$T$417,"묘지",두미리!$Y$1:$Y667)</f>
        <v>0</v>
      </c>
      <c r="G40" s="727">
        <f>SUMIF(두미리!$T$1:$T$417,"묘지",두미리!Z$1:$Z667)</f>
        <v>0</v>
      </c>
      <c r="H40" s="736">
        <f>SUMIF(두미리!$T$1:$T$417,"묘지",두미리!$AA$1:AA667)</f>
        <v>0</v>
      </c>
      <c r="I40" s="724" t="s">
        <v>26</v>
      </c>
      <c r="J40" s="737">
        <f>SUMIF(두미리!$T$1:$T$417,"묘지",두미리!$AC$1:$AC667)</f>
        <v>0</v>
      </c>
      <c r="K40" s="731">
        <f>SUMIF(두미리!$T$1:$T$417,"묘지",두미리!$AD$1:$AD667)</f>
        <v>0</v>
      </c>
      <c r="L40" s="727">
        <f>SUMIF(두미리!$T$1:$T$417,"묘지",두미리!$AE$1:$AE667)</f>
        <v>0</v>
      </c>
      <c r="M40" s="736">
        <f>SUMIF(두미리!$T$1:$T$417,"묘지",두미리!$AF$1:$AF667)</f>
        <v>0</v>
      </c>
      <c r="N40" s="724" t="s">
        <v>26</v>
      </c>
      <c r="O40" s="737">
        <f>SUMIF(두미리!$T$1:$T$417,"묘지",두미리!$AH$1:$AH667)</f>
        <v>0</v>
      </c>
      <c r="P40" s="731">
        <f>SUMIF(두미리!$T$1:$T$417,"묘지",두미리!$AI$1:$AI667)</f>
        <v>0</v>
      </c>
      <c r="Q40" s="738">
        <f t="shared" si="1"/>
        <v>0</v>
      </c>
    </row>
    <row r="41" spans="1:17" s="20" customFormat="1" ht="24.95" hidden="1" customHeight="1" x14ac:dyDescent="0.15">
      <c r="A41" s="721" t="s">
        <v>218</v>
      </c>
      <c r="B41" s="727">
        <f>SUMIF(두미리!$T$1:$T$417,"주유소",두미리!$U$1:$U668)</f>
        <v>1</v>
      </c>
      <c r="C41" s="739">
        <f>SUMIF(두미리!$T$1:$T$417,"주유소",두미리!$V$1:$V668)</f>
        <v>1</v>
      </c>
      <c r="D41" s="724" t="s">
        <v>26</v>
      </c>
      <c r="E41" s="737">
        <f>SUMIF(두미리!$T$1:$T$417,"주유소",두미리!$X$1:$X668)</f>
        <v>285</v>
      </c>
      <c r="F41" s="740">
        <f>SUMIF(두미리!$T$1:$T$417,"주유소",두미리!$Y$1:$Y668)</f>
        <v>285</v>
      </c>
      <c r="G41" s="727">
        <f>SUMIF(두미리!$T$1:$T$417,"주유소",두미리!Z$1:$Z668)</f>
        <v>0</v>
      </c>
      <c r="H41" s="736">
        <f>SUMIF(두미리!$T$1:$T$417,"주유소",두미리!$AA$1:AA668)</f>
        <v>1</v>
      </c>
      <c r="I41" s="724" t="s">
        <v>26</v>
      </c>
      <c r="J41" s="737">
        <f>SUMIF(두미리!$T$1:$T$417,"주유소",두미리!$AC$1:$AC668)</f>
        <v>0</v>
      </c>
      <c r="K41" s="731">
        <f>SUMIF(두미리!$T$1:$T$417,"주유소",두미리!$AD$1:$AD668)</f>
        <v>285</v>
      </c>
      <c r="L41" s="727">
        <f>SUMIF(두미리!$T$1:$T$417,"주유소",두미리!$AE$1:$AE668)</f>
        <v>1</v>
      </c>
      <c r="M41" s="736">
        <f>SUMIF(두미리!$T$1:$T$417,"주유소",두미리!$AF$1:$AF668)</f>
        <v>0</v>
      </c>
      <c r="N41" s="724" t="s">
        <v>26</v>
      </c>
      <c r="O41" s="737">
        <f>SUMIF(두미리!$T$1:$T$417,"주유소",두미리!$AH$1:$AH668)</f>
        <v>285</v>
      </c>
      <c r="P41" s="731">
        <f>SUMIF(두미리!$T$1:$T$417,"주유소",두미리!$AI$1:$AI668)</f>
        <v>0</v>
      </c>
      <c r="Q41" s="738">
        <f t="shared" si="1"/>
        <v>0</v>
      </c>
    </row>
    <row r="42" spans="1:17" s="20" customFormat="1" ht="24.95" customHeight="1" x14ac:dyDescent="0.15">
      <c r="A42" s="721" t="s">
        <v>2</v>
      </c>
      <c r="B42" s="727">
        <f>SUMIF(두미리!$T$1:$T$417,"창고용지",두미리!$U$1:$U669)</f>
        <v>2</v>
      </c>
      <c r="C42" s="739">
        <f>SUMIF(두미리!$T$1:$T$417,"창고용지",두미리!$V$1:$V669)</f>
        <v>2</v>
      </c>
      <c r="D42" s="724" t="s">
        <v>26</v>
      </c>
      <c r="E42" s="737">
        <f>SUMIF(두미리!$T$1:$T$417,"창고용지",두미리!$X$1:$X669)</f>
        <v>314</v>
      </c>
      <c r="F42" s="740">
        <f>SUMIF(두미리!$T$1:$T$417,"창고용지",두미리!$Y$1:$Y669)</f>
        <v>314</v>
      </c>
      <c r="G42" s="727">
        <f>SUMIF(두미리!$T$1:$T$417,"창고용지",두미리!Z$1:$Z668)</f>
        <v>0</v>
      </c>
      <c r="H42" s="736">
        <f>SUMIF(두미리!$T$1:$T$417,"창고용지",두미리!$AA$1:AA668)</f>
        <v>2</v>
      </c>
      <c r="I42" s="724" t="s">
        <v>26</v>
      </c>
      <c r="J42" s="737">
        <f>SUMIF(두미리!$T$1:$T$417,"창고용지",두미리!$AC$1:$AC668)</f>
        <v>0</v>
      </c>
      <c r="K42" s="731">
        <f>SUMIF(두미리!$T$1:$T$417,"창고용지",두미리!$AD$1:$AD668)</f>
        <v>314</v>
      </c>
      <c r="L42" s="727">
        <f>SUMIF(두미리!$T$1:$T$417,"창고용지",두미리!$AE$1:$AE668)</f>
        <v>2</v>
      </c>
      <c r="M42" s="736">
        <f>SUMIF(두미리!$T$1:$T$417,"창고용지",두미리!$AF$1:$AF668)</f>
        <v>0</v>
      </c>
      <c r="N42" s="724" t="s">
        <v>26</v>
      </c>
      <c r="O42" s="737">
        <f>SUMIF(두미리!$T$1:$T$417,"창고용지",두미리!$AH$1:$AH669)</f>
        <v>314</v>
      </c>
      <c r="P42" s="731">
        <f>SUMIF(두미리!$T$1:$T$417,"창고용지",두미리!$AI$1:$AI669)</f>
        <v>0</v>
      </c>
      <c r="Q42" s="738">
        <f t="shared" si="1"/>
        <v>0</v>
      </c>
    </row>
    <row r="43" spans="1:17" s="20" customFormat="1" ht="24.95" customHeight="1" x14ac:dyDescent="0.15">
      <c r="A43" s="721" t="s">
        <v>5</v>
      </c>
      <c r="B43" s="727">
        <f>SUMIF(두미리!$T$1:$T$417,"목장용지",두미리!$U$1:$U670)</f>
        <v>4</v>
      </c>
      <c r="C43" s="739">
        <f>SUMIF(두미리!$T$1:$T$417,"목장용지",두미리!$V$1:$V670)</f>
        <v>3</v>
      </c>
      <c r="D43" s="724" t="s">
        <v>26</v>
      </c>
      <c r="E43" s="737">
        <f>SUMIF(두미리!$T$1:$T$417,"목장용지",두미리!$X$1:$X670)</f>
        <v>242</v>
      </c>
      <c r="F43" s="740">
        <f>SUMIF(두미리!$T$1:$T$417,"목장용지",두미리!$Y$1:$Y670)</f>
        <v>233</v>
      </c>
      <c r="G43" s="727">
        <f>SUMIF(두미리!$T$1:$T$417,"목장용지",두미리!Z$1:$Z670)</f>
        <v>0</v>
      </c>
      <c r="H43" s="736">
        <f>SUMIF(두미리!$T$1:$T$417,"목장용지",두미리!$AA$1:AA670)</f>
        <v>3</v>
      </c>
      <c r="I43" s="724" t="s">
        <v>26</v>
      </c>
      <c r="J43" s="737">
        <f>SUMIF(두미리!$T$1:$T$417,"목장용지",두미리!$AC$1:$AC670)</f>
        <v>0</v>
      </c>
      <c r="K43" s="731">
        <f>SUMIF(두미리!$T$1:$T$417,"목장용지",두미리!$AD$1:$AD670)</f>
        <v>233</v>
      </c>
      <c r="L43" s="727">
        <f>SUMIF(두미리!$T$1:$T$417,"목장용지",두미리!$AE$1:$AE670)</f>
        <v>4</v>
      </c>
      <c r="M43" s="736">
        <f>SUMIF(두미리!$T$1:$T$417,"목장용지",두미리!$AF$1:$AF670)</f>
        <v>0</v>
      </c>
      <c r="N43" s="724" t="s">
        <v>26</v>
      </c>
      <c r="O43" s="737">
        <f>SUMIF(두미리!$T$1:$T$417,"목장용지",두미리!$AH$1:$AH670)</f>
        <v>242</v>
      </c>
      <c r="P43" s="731">
        <f>SUMIF(두미리!$T$1:$T$417,"목장용지",두미리!$AI$1:$AI670)</f>
        <v>0</v>
      </c>
      <c r="Q43" s="738">
        <f t="shared" si="1"/>
        <v>-9</v>
      </c>
    </row>
    <row r="44" spans="1:17" s="20" customFormat="1" ht="25.5" customHeight="1" x14ac:dyDescent="0.15">
      <c r="A44" s="741" t="s">
        <v>193</v>
      </c>
      <c r="B44" s="742">
        <f>SUMIF(두미리!$T$1:$T$417,"학교용지",두미리!$U$1:$U671)</f>
        <v>0</v>
      </c>
      <c r="C44" s="743">
        <f>SUMIF(두미리!$T$1:$T$417,"학교용지",두미리!$V$1:$V671)</f>
        <v>0</v>
      </c>
      <c r="D44" s="744" t="s">
        <v>26</v>
      </c>
      <c r="E44" s="745">
        <f>SUMIF(두미리!$T$1:$T$417,"학교용지",두미리!$X$1:$X671)</f>
        <v>0</v>
      </c>
      <c r="F44" s="746">
        <f>SUMIF(두미리!$T$1:$T$417,"학교용지",두미리!$Y$1:$Y671)</f>
        <v>0</v>
      </c>
      <c r="G44" s="742">
        <f>SUMIF(두미리!$T$1:$T$417,"학교용지",두미리!Z$1:$Z671)</f>
        <v>0</v>
      </c>
      <c r="H44" s="747">
        <f>SUMIF(두미리!$T$1:$T$417,"학교용지",두미리!$AA$1:AA671)</f>
        <v>0</v>
      </c>
      <c r="I44" s="744" t="s">
        <v>26</v>
      </c>
      <c r="J44" s="745">
        <f>SUMIF(두미리!$T$1:$T$417,"학교용지",두미리!$AC$1:$AC671)</f>
        <v>0</v>
      </c>
      <c r="K44" s="748">
        <f>SUMIF(두미리!$T$1:$T$417,"학교용지",두미리!$AD$1:$AD671)</f>
        <v>0</v>
      </c>
      <c r="L44" s="742">
        <f>SUMIF(두미리!$T$1:$T$417,"학교용지",두미리!$AE$1:$AE671)</f>
        <v>0</v>
      </c>
      <c r="M44" s="747">
        <f>SUMIF(두미리!$T$1:$T$417,"학교용지",두미리!$AF$1:$AF671)</f>
        <v>0</v>
      </c>
      <c r="N44" s="744" t="s">
        <v>26</v>
      </c>
      <c r="O44" s="745">
        <f>SUMIF(두미리!$T$1:$T$417,"학교용지",두미리!$AH$1:$AH671)</f>
        <v>0</v>
      </c>
      <c r="P44" s="748">
        <f>SUMIF(두미리!$T$1:$T$417,"학교용지",두미리!$AI$1:$AI671)</f>
        <v>0</v>
      </c>
      <c r="Q44" s="749">
        <f t="shared" si="1"/>
        <v>0</v>
      </c>
    </row>
    <row r="45" spans="1:17" s="20" customFormat="1" ht="25.5" customHeight="1" x14ac:dyDescent="0.15">
      <c r="A45" s="166" t="s">
        <v>40</v>
      </c>
      <c r="B45" s="30">
        <f>SUMIF(두미리!$T$1:$T$417,"공장",두미리!$U$1:$U672)</f>
        <v>0</v>
      </c>
      <c r="C45" s="188">
        <f>SUMIF(두미리!$T$1:$T$417,"공장",두미리!$V$1:$V672)</f>
        <v>0</v>
      </c>
      <c r="D45" s="8" t="s">
        <v>26</v>
      </c>
      <c r="E45" s="91">
        <f>SUMIF(두미리!$T$1:$T$417,"공장",두미리!$X$1:$X672)</f>
        <v>0</v>
      </c>
      <c r="F45" s="198">
        <f>SUMIF(두미리!$T$1:$T$417,"공장",두미리!$Y$1:$Y672)</f>
        <v>0</v>
      </c>
      <c r="G45" s="30">
        <f>SUMIF(두미리!$T$1:$T$417,"공장",두미리!Z$1:$Z672)</f>
        <v>0</v>
      </c>
      <c r="H45" s="187">
        <f>SUMIF(두미리!$T$1:$T$417,"공장",두미리!$AA$1:AA672)</f>
        <v>0</v>
      </c>
      <c r="I45" s="8" t="s">
        <v>26</v>
      </c>
      <c r="J45" s="91">
        <f>SUMIF(두미리!$T$1:$T$417,"공장",두미리!$AC$1:$AC672)</f>
        <v>0</v>
      </c>
      <c r="K45" s="197">
        <f>SUMIF(두미리!$T$1:$T$417,"공장",두미리!$AD$1:$AD672)</f>
        <v>0</v>
      </c>
      <c r="L45" s="30">
        <f>SUMIF(두미리!$T$1:$T$417,"공장",두미리!$AE$1:$AE672)</f>
        <v>0</v>
      </c>
      <c r="M45" s="187">
        <f>SUMIF(두미리!$T$1:$T$417,"공장",두미리!$AF$1:$AF672)</f>
        <v>0</v>
      </c>
      <c r="N45" s="8" t="s">
        <v>26</v>
      </c>
      <c r="O45" s="91">
        <f>SUMIF(두미리!$T$1:$T$417,"공장",두미리!$AH$1:$AH672)</f>
        <v>0</v>
      </c>
      <c r="P45" s="197">
        <f>SUMIF(두미리!$T$1:$T$417,"공장",두미리!$AI$1:$AI672)</f>
        <v>0</v>
      </c>
      <c r="Q45" s="201">
        <f t="shared" si="1"/>
        <v>0</v>
      </c>
    </row>
    <row r="46" spans="1:17" s="20" customFormat="1" ht="25.5" customHeight="1" thickBot="1" x14ac:dyDescent="0.2">
      <c r="A46" s="167" t="s">
        <v>56</v>
      </c>
      <c r="B46" s="168">
        <f>SUMIF(두미리!$T$1:$T$417,"기타",두미리!$U$1:$U673)</f>
        <v>0</v>
      </c>
      <c r="C46" s="189">
        <f>SUMIF(두미리!$T$1:$T$417,"기타",두미리!$V$1:$V673)</f>
        <v>0</v>
      </c>
      <c r="D46" s="169" t="s">
        <v>26</v>
      </c>
      <c r="E46" s="174">
        <f>SUMIF(두미리!$T$1:$T$417,"기타",두미리!$X$1:$X673)</f>
        <v>0</v>
      </c>
      <c r="F46" s="199">
        <f>SUMIF(두미리!$T$1:$T$417,"기타",두미리!$Y$1:$Y673)</f>
        <v>0</v>
      </c>
      <c r="G46" s="168">
        <f>SUMIF(두미리!$T$1:$T$417,"기타",두미리!Z$1:$Z673)</f>
        <v>0</v>
      </c>
      <c r="H46" s="190">
        <f>SUMIF(두미리!$T$1:$T$417,"기타",두미리!$AA$1:AA673)</f>
        <v>0</v>
      </c>
      <c r="I46" s="169" t="s">
        <v>26</v>
      </c>
      <c r="J46" s="174">
        <f>SUMIF(두미리!$T$1:$T$417,"기타",두미리!$AC$1:$AC673)</f>
        <v>0</v>
      </c>
      <c r="K46" s="200">
        <f>SUMIF(두미리!$T$1:$T$417,"기타",두미리!$AD$1:$AD673)</f>
        <v>0</v>
      </c>
      <c r="L46" s="168">
        <f>SUMIF(두미리!$T$1:$T$417,"기타",두미리!$AE$1:$AE673)</f>
        <v>0</v>
      </c>
      <c r="M46" s="190">
        <f>SUMIF(두미리!$T$1:$T$417,"기타",두미리!$AF$1:$AF673)</f>
        <v>0</v>
      </c>
      <c r="N46" s="169" t="s">
        <v>26</v>
      </c>
      <c r="O46" s="174">
        <f>SUMIF(두미리!$T$1:$T$417,"기타",두미리!$AH$1:$AH673)</f>
        <v>0</v>
      </c>
      <c r="P46" s="200">
        <f>SUMIF(두미리!$T$1:$T$417,"기타",두미리!$AI$1:$AI673)</f>
        <v>0</v>
      </c>
      <c r="Q46" s="202">
        <f t="shared" si="1"/>
        <v>0</v>
      </c>
    </row>
    <row r="47" spans="1:17" ht="24.95" customHeight="1" x14ac:dyDescent="0.15">
      <c r="A47" s="704" t="s">
        <v>65</v>
      </c>
      <c r="B47" s="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s="20" customFormat="1" ht="20.100000000000001" customHeight="1" thickBot="1" x14ac:dyDescent="0.2">
      <c r="A48" s="163"/>
      <c r="B48" s="16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65" t="s">
        <v>224</v>
      </c>
    </row>
    <row r="49" spans="1:17" s="20" customFormat="1" ht="24" customHeight="1" x14ac:dyDescent="0.15">
      <c r="A49" s="1079" t="s">
        <v>23</v>
      </c>
      <c r="B49" s="706" t="s">
        <v>24</v>
      </c>
      <c r="C49" s="706"/>
      <c r="D49" s="706"/>
      <c r="E49" s="706"/>
      <c r="F49" s="707"/>
      <c r="G49" s="706" t="s">
        <v>57</v>
      </c>
      <c r="H49" s="706"/>
      <c r="I49" s="706"/>
      <c r="J49" s="706"/>
      <c r="K49" s="707"/>
      <c r="L49" s="706" t="s">
        <v>41</v>
      </c>
      <c r="M49" s="706"/>
      <c r="N49" s="706"/>
      <c r="O49" s="706"/>
      <c r="P49" s="706"/>
      <c r="Q49" s="1073" t="s">
        <v>66</v>
      </c>
    </row>
    <row r="50" spans="1:17" s="20" customFormat="1" ht="24" customHeight="1" x14ac:dyDescent="0.15">
      <c r="A50" s="1080"/>
      <c r="B50" s="1076" t="s">
        <v>63</v>
      </c>
      <c r="C50" s="1078"/>
      <c r="D50" s="708" t="s">
        <v>26</v>
      </c>
      <c r="E50" s="1076" t="s">
        <v>43</v>
      </c>
      <c r="F50" s="1077"/>
      <c r="G50" s="1076" t="s">
        <v>63</v>
      </c>
      <c r="H50" s="1078"/>
      <c r="I50" s="708" t="s">
        <v>26</v>
      </c>
      <c r="J50" s="1076" t="s">
        <v>43</v>
      </c>
      <c r="K50" s="1077"/>
      <c r="L50" s="1076" t="s">
        <v>63</v>
      </c>
      <c r="M50" s="1077"/>
      <c r="N50" s="708" t="s">
        <v>26</v>
      </c>
      <c r="O50" s="1076" t="s">
        <v>43</v>
      </c>
      <c r="P50" s="1077"/>
      <c r="Q50" s="1074"/>
    </row>
    <row r="51" spans="1:17" s="20" customFormat="1" ht="24" customHeight="1" x14ac:dyDescent="0.15">
      <c r="A51" s="1081"/>
      <c r="B51" s="709" t="s">
        <v>61</v>
      </c>
      <c r="C51" s="709" t="s">
        <v>62</v>
      </c>
      <c r="D51" s="711" t="s">
        <v>26</v>
      </c>
      <c r="E51" s="709" t="s">
        <v>61</v>
      </c>
      <c r="F51" s="710" t="s">
        <v>62</v>
      </c>
      <c r="G51" s="709" t="s">
        <v>61</v>
      </c>
      <c r="H51" s="709" t="s">
        <v>62</v>
      </c>
      <c r="I51" s="711" t="s">
        <v>26</v>
      </c>
      <c r="J51" s="709" t="s">
        <v>61</v>
      </c>
      <c r="K51" s="710" t="s">
        <v>62</v>
      </c>
      <c r="L51" s="709" t="s">
        <v>61</v>
      </c>
      <c r="M51" s="709" t="s">
        <v>62</v>
      </c>
      <c r="N51" s="711" t="s">
        <v>26</v>
      </c>
      <c r="O51" s="709" t="s">
        <v>61</v>
      </c>
      <c r="P51" s="710" t="s">
        <v>62</v>
      </c>
      <c r="Q51" s="1075"/>
    </row>
    <row r="52" spans="1:17" s="20" customFormat="1" ht="24" customHeight="1" x14ac:dyDescent="0.15">
      <c r="A52" s="712" t="s">
        <v>24</v>
      </c>
      <c r="B52" s="713">
        <f>SUM(B53:B69)</f>
        <v>1</v>
      </c>
      <c r="C52" s="733">
        <f>SUMIF(반곡리!$T$1:$T$417,"계",반곡리!$V$1:$V679)</f>
        <v>1</v>
      </c>
      <c r="D52" s="715" t="s">
        <v>26</v>
      </c>
      <c r="E52" s="734">
        <f>SUMIF(반곡리!$T$1:$T$417,"계",반곡리!$X$1:$X679)</f>
        <v>6</v>
      </c>
      <c r="F52" s="717">
        <f>SUMIF(반곡리!$T$1:$T$417,"계",반곡리!$Y$1:$Y679)</f>
        <v>6</v>
      </c>
      <c r="G52" s="713">
        <f>SUMIF(반곡리!$T$1:$T$417,"계",반곡리!Z$1:$Z679)</f>
        <v>1</v>
      </c>
      <c r="H52" s="733">
        <f>SUMIF(반곡리!$T$1:$T$417,"계",반곡리!$AA$1:AA679)</f>
        <v>1</v>
      </c>
      <c r="I52" s="715" t="s">
        <v>26</v>
      </c>
      <c r="J52" s="734">
        <f>SUMIF(반곡리!$T$1:$T$417,"계",반곡리!$AC$1:$AC679)</f>
        <v>6</v>
      </c>
      <c r="K52" s="717">
        <f>SUMIF(반곡리!$T$1:$T$417,"계",반곡리!$AD$1:$AD679)</f>
        <v>6</v>
      </c>
      <c r="L52" s="713">
        <f>SUMIF(반곡리!$T$1:$T$417,"계",반곡리!$AE$1:$AE679)</f>
        <v>0</v>
      </c>
      <c r="M52" s="733">
        <f>SUMIF(반곡리!$T$1:$T$417,"계",반곡리!$AF$1:$AF679)</f>
        <v>0</v>
      </c>
      <c r="N52" s="715" t="s">
        <v>26</v>
      </c>
      <c r="O52" s="734">
        <f>SUMIF(반곡리!$T$1:$T$417,"계",반곡리!$AH$1:$AH679)</f>
        <v>0</v>
      </c>
      <c r="P52" s="717">
        <f>SUMIF(반곡리!$T$1:$T$417,"계",반곡리!$AI$1:$AI679)</f>
        <v>0</v>
      </c>
      <c r="Q52" s="735">
        <f>F52-E52</f>
        <v>0</v>
      </c>
    </row>
    <row r="53" spans="1:17" s="20" customFormat="1" ht="24" customHeight="1" x14ac:dyDescent="0.15">
      <c r="A53" s="721" t="s">
        <v>27</v>
      </c>
      <c r="B53" s="727">
        <f>SUMIF(반곡리!$T$1:$T$417,"전",반곡리!$U$1:$U680)</f>
        <v>0</v>
      </c>
      <c r="C53" s="736">
        <f>SUMIF(반곡리!$T$1:$T$417,"전",반곡리!$V$1:$V680)</f>
        <v>0</v>
      </c>
      <c r="D53" s="724" t="s">
        <v>26</v>
      </c>
      <c r="E53" s="737">
        <f>SUMIF(반곡리!$T$1:$T$417,"전",반곡리!$X$1:$X680)</f>
        <v>0</v>
      </c>
      <c r="F53" s="731">
        <f>SUMIF(반곡리!$T$1:$T$417,"전",반곡리!$Y$1:$Y680)</f>
        <v>0</v>
      </c>
      <c r="G53" s="727">
        <f>SUMIF(반곡리!$T$1:$T$417,"전",반곡리!Z$1:$Z680)</f>
        <v>0</v>
      </c>
      <c r="H53" s="736">
        <f>SUMIF(반곡리!$T$1:$T$417,"전",반곡리!$AA$1:AA680)</f>
        <v>0</v>
      </c>
      <c r="I53" s="724" t="s">
        <v>26</v>
      </c>
      <c r="J53" s="737">
        <f>SUMIF(반곡리!$T$1:$T$417,"전",반곡리!$AC$1:$AC680)</f>
        <v>0</v>
      </c>
      <c r="K53" s="731">
        <f>SUMIF(반곡리!$T$1:$T$417,"전",반곡리!$AD$1:$AD680)</f>
        <v>0</v>
      </c>
      <c r="L53" s="727">
        <f>SUMIF(반곡리!$T$1:$T$417,"전",반곡리!$AE$1:$AE680)</f>
        <v>0</v>
      </c>
      <c r="M53" s="736">
        <f>SUMIF(반곡리!$T$1:$T$417,"전",반곡리!$AF$1:$AF680)</f>
        <v>0</v>
      </c>
      <c r="N53" s="724" t="s">
        <v>26</v>
      </c>
      <c r="O53" s="737">
        <f>SUMIF(반곡리!$T$1:$T$417,"전",반곡리!$AH$1:$AH680)</f>
        <v>0</v>
      </c>
      <c r="P53" s="731">
        <f>SUMIF(반곡리!$T$1:$T$417,"전",반곡리!$AI$1:$AI680)</f>
        <v>0</v>
      </c>
      <c r="Q53" s="738">
        <f t="shared" ref="Q53:Q69" si="2">F53-E53</f>
        <v>0</v>
      </c>
    </row>
    <row r="54" spans="1:17" s="20" customFormat="1" ht="24" customHeight="1" x14ac:dyDescent="0.15">
      <c r="A54" s="721" t="s">
        <v>28</v>
      </c>
      <c r="B54" s="727">
        <f>SUMIF(반곡리!$T$1:$T$417,"답",반곡리!$U$1:$U681)</f>
        <v>0</v>
      </c>
      <c r="C54" s="736">
        <f>SUMIF(반곡리!$T$1:$T$417,"답",반곡리!$V$1:$V681)</f>
        <v>0</v>
      </c>
      <c r="D54" s="724" t="s">
        <v>26</v>
      </c>
      <c r="E54" s="737">
        <f>SUMIF(반곡리!$T$1:$T$417,"답",반곡리!$X$1:$X681)</f>
        <v>0</v>
      </c>
      <c r="F54" s="731">
        <f>SUMIF(반곡리!T$1:$T$417,"답",반곡리!$Y$1:$Y681)</f>
        <v>0</v>
      </c>
      <c r="G54" s="727">
        <f>SUMIF(반곡리!$T$1:$T$417,"답",반곡리!Z$1:$Z681)</f>
        <v>0</v>
      </c>
      <c r="H54" s="736">
        <f>SUMIF(반곡리!$T$1:$T$417,"답",반곡리!$AA$1:AA681)</f>
        <v>0</v>
      </c>
      <c r="I54" s="724" t="s">
        <v>26</v>
      </c>
      <c r="J54" s="737">
        <f>SUMIF(반곡리!$T$1:$T$417,"답",반곡리!$AC$1:$AC681)</f>
        <v>0</v>
      </c>
      <c r="K54" s="731">
        <f>SUMIF(반곡리!$T$1:$T$417,"답",반곡리!$AD$1:$AD681)</f>
        <v>0</v>
      </c>
      <c r="L54" s="727">
        <f>SUMIF(반곡리!$T$1:$T$417,"답",반곡리!$AE$1:$AE681)</f>
        <v>0</v>
      </c>
      <c r="M54" s="736">
        <f>SUMIF(반곡리!$T$1:$T$417,"답",반곡리!$AF$1:$AF681)</f>
        <v>0</v>
      </c>
      <c r="N54" s="724" t="s">
        <v>26</v>
      </c>
      <c r="O54" s="737">
        <f>SUMIF(반곡리!$T$1:$T$417,"답",반곡리!$AH$1:$AH681)</f>
        <v>0</v>
      </c>
      <c r="P54" s="731">
        <f>SUMIF(반곡리!$T$1:$T$417,"답",반곡리!$AI$1:$AI681)</f>
        <v>0</v>
      </c>
      <c r="Q54" s="738">
        <f t="shared" si="2"/>
        <v>0</v>
      </c>
    </row>
    <row r="55" spans="1:17" s="20" customFormat="1" ht="24" customHeight="1" x14ac:dyDescent="0.15">
      <c r="A55" s="721" t="s">
        <v>29</v>
      </c>
      <c r="B55" s="727">
        <f>SUMIF(반곡리!$T$1:$T$417,"대지",반곡리!$U$1:$U682)</f>
        <v>0</v>
      </c>
      <c r="C55" s="736">
        <f>SUMIF(반곡리!$T$1:$T$417,"대지",반곡리!$V$1:$V682)</f>
        <v>0</v>
      </c>
      <c r="D55" s="724" t="s">
        <v>26</v>
      </c>
      <c r="E55" s="737">
        <f>SUMIF(반곡리!$T$1:$T$417,"대지",반곡리!$X$1:$X682)</f>
        <v>0</v>
      </c>
      <c r="F55" s="731">
        <f>SUMIF(반곡리!$T$1:$T$417,"대지",반곡리!$Y$1:$Y682)</f>
        <v>0</v>
      </c>
      <c r="G55" s="727">
        <f>SUMIF(반곡리!$T$1:$T$417,"대지",반곡리!Z$1:$Z682)</f>
        <v>0</v>
      </c>
      <c r="H55" s="736">
        <f>SUMIF(반곡리!$T$1:$T$417,"대지",반곡리!$AA$1:AA682)</f>
        <v>0</v>
      </c>
      <c r="I55" s="724" t="s">
        <v>26</v>
      </c>
      <c r="J55" s="737">
        <f>SUMIF(반곡리!$T$1:$T$417,"대지",반곡리!$AC$1:$AC682)</f>
        <v>0</v>
      </c>
      <c r="K55" s="731">
        <f>SUMIF(반곡리!$T$1:$T$417,"대지",반곡리!$AD$1:$AD682)</f>
        <v>0</v>
      </c>
      <c r="L55" s="727">
        <f>SUMIF(반곡리!$T$1:$T$417,"대지",반곡리!$AE$1:$AE682)</f>
        <v>0</v>
      </c>
      <c r="M55" s="736">
        <f>SUMIF(반곡리!$T$1:$T$417,"대지",반곡리!$AF$1:$AF682)</f>
        <v>0</v>
      </c>
      <c r="N55" s="724" t="s">
        <v>26</v>
      </c>
      <c r="O55" s="737">
        <f>SUMIF(반곡리!$T$1:$T$417,"대지",반곡리!$AH$1:$AH682)</f>
        <v>0</v>
      </c>
      <c r="P55" s="731">
        <f>SUMIF(반곡리!$T$1:$T$417,"대지",반곡리!$AI$1:$AI682)</f>
        <v>0</v>
      </c>
      <c r="Q55" s="738">
        <f t="shared" si="2"/>
        <v>0</v>
      </c>
    </row>
    <row r="56" spans="1:17" s="20" customFormat="1" ht="24" customHeight="1" x14ac:dyDescent="0.15">
      <c r="A56" s="721" t="s">
        <v>30</v>
      </c>
      <c r="B56" s="727">
        <f>SUMIF(반곡리!$T$1:$T$417,"임야",반곡리!$U$1:$U683)</f>
        <v>0</v>
      </c>
      <c r="C56" s="736">
        <f>SUMIF(반곡리!$T$1:$T$417,"임야",반곡리!$V$1:$V683)</f>
        <v>0</v>
      </c>
      <c r="D56" s="724" t="s">
        <v>26</v>
      </c>
      <c r="E56" s="737">
        <f>SUMIF(반곡리!$T$1:$T$417,"임야",반곡리!$X$1:$X683)</f>
        <v>0</v>
      </c>
      <c r="F56" s="731">
        <f>SUMIF(반곡리!$T$1:$T$417,"임야",반곡리!$Y$1:$Y683)</f>
        <v>0</v>
      </c>
      <c r="G56" s="727">
        <f>SUMIF(반곡리!$T$1:$T$417,"임야",반곡리!Z$1:$Z683)</f>
        <v>0</v>
      </c>
      <c r="H56" s="736">
        <f>SUMIF(반곡리!$T$1:$T$417,"임야",반곡리!$AA$1:AA683)</f>
        <v>0</v>
      </c>
      <c r="I56" s="724" t="s">
        <v>26</v>
      </c>
      <c r="J56" s="737">
        <f>SUMIF(반곡리!$T$1:$T$417,"임야",반곡리!$AC$1:$AC683)</f>
        <v>0</v>
      </c>
      <c r="K56" s="731">
        <f>SUMIF(반곡리!$T$1:$T$417,"임야",반곡리!$AD$1:$AD683)</f>
        <v>0</v>
      </c>
      <c r="L56" s="727">
        <f>SUMIF(반곡리!$T$1:$T$417,"임야",반곡리!$AE$1:$AE683)</f>
        <v>0</v>
      </c>
      <c r="M56" s="736">
        <f>SUMIF(반곡리!$T$1:$T$417,"임야",반곡리!$AF$1:$AF683)</f>
        <v>0</v>
      </c>
      <c r="N56" s="724" t="s">
        <v>26</v>
      </c>
      <c r="O56" s="737">
        <f>SUMIF(반곡리!$T$1:$T$417,"임야",반곡리!$AH$1:$AH683)</f>
        <v>0</v>
      </c>
      <c r="P56" s="731">
        <f>SUMIF(반곡리!$T$1:$T$417,"임야",반곡리!$AI$1:$AI683)</f>
        <v>0</v>
      </c>
      <c r="Q56" s="738">
        <f t="shared" si="2"/>
        <v>0</v>
      </c>
    </row>
    <row r="57" spans="1:17" s="20" customFormat="1" ht="24" customHeight="1" x14ac:dyDescent="0.15">
      <c r="A57" s="721" t="s">
        <v>31</v>
      </c>
      <c r="B57" s="727">
        <f>SUMIF(반곡리!$T$1:$T$417,"도로",반곡리!$U$1:$U684)</f>
        <v>0</v>
      </c>
      <c r="C57" s="736">
        <f>SUMIF(반곡리!$T$1:$T$417,"도로",반곡리!$V$1:$V684)</f>
        <v>0</v>
      </c>
      <c r="D57" s="724" t="s">
        <v>26</v>
      </c>
      <c r="E57" s="737">
        <f>SUMIF(반곡리!$T$1:$T$417,"도로",반곡리!$X$1:$X684)</f>
        <v>0</v>
      </c>
      <c r="F57" s="731">
        <f>SUMIF(반곡리!$T$1:$T$417,"도로",반곡리!$Y$1:$Y684)</f>
        <v>0</v>
      </c>
      <c r="G57" s="727">
        <f>SUMIF(반곡리!$T$1:$T$417,"도로",반곡리!Z$1:$Z684)</f>
        <v>0</v>
      </c>
      <c r="H57" s="736">
        <f>SUMIF(반곡리!$T$1:$T$417,"도로",반곡리!$AA$1:AA684)</f>
        <v>0</v>
      </c>
      <c r="I57" s="724" t="s">
        <v>26</v>
      </c>
      <c r="J57" s="737">
        <f>SUMIF(반곡리!$T$1:$T$417,"도로",반곡리!$AC$1:$AC684)</f>
        <v>0</v>
      </c>
      <c r="K57" s="731">
        <f>SUMIF(반곡리!$T$1:$T$417,"도로",반곡리!$AD$1:$AD684)</f>
        <v>0</v>
      </c>
      <c r="L57" s="727">
        <f>SUMIF(반곡리!$T$1:$T$417,"도로",반곡리!$AE$1:$AE684)</f>
        <v>0</v>
      </c>
      <c r="M57" s="736">
        <f>SUMIF(반곡리!$T$1:$T$417,"도로",반곡리!$AF$1:$AF684)</f>
        <v>0</v>
      </c>
      <c r="N57" s="724" t="s">
        <v>26</v>
      </c>
      <c r="O57" s="737">
        <f>SUMIF(반곡리!$T$1:$T$417,"도로",반곡리!$AH$1:$AH684)</f>
        <v>0</v>
      </c>
      <c r="P57" s="731">
        <f>SUMIF(반곡리!$T$1:$T$417,"도로",반곡리!$AI$1:$AI684)</f>
        <v>0</v>
      </c>
      <c r="Q57" s="738">
        <f t="shared" si="2"/>
        <v>0</v>
      </c>
    </row>
    <row r="58" spans="1:17" s="20" customFormat="1" ht="24" customHeight="1" x14ac:dyDescent="0.15">
      <c r="A58" s="721" t="s">
        <v>32</v>
      </c>
      <c r="B58" s="727">
        <f>SUMIF(반곡리!$T$1:$T$417,"하천",반곡리!$U$1:$U685)</f>
        <v>0</v>
      </c>
      <c r="C58" s="736">
        <f>SUMIF(반곡리!$T$1:$T$417,"하천",반곡리!$V$1:$V685)</f>
        <v>0</v>
      </c>
      <c r="D58" s="724" t="s">
        <v>26</v>
      </c>
      <c r="E58" s="737">
        <f>SUMIF(반곡리!$T$1:$T$417,"하천",반곡리!$X$1:$X685)</f>
        <v>0</v>
      </c>
      <c r="F58" s="731">
        <f>SUMIF(반곡리!$T$1:$T$417,"하천",반곡리!$Y$1:$Y685)</f>
        <v>0</v>
      </c>
      <c r="G58" s="727">
        <f>SUMIF(반곡리!$T$1:$T$417,"하천",반곡리!Z$1:$Z685)</f>
        <v>0</v>
      </c>
      <c r="H58" s="736">
        <f>SUMIF(반곡리!$T$1:$T$417,"하천",반곡리!$AA$1:AA685)</f>
        <v>0</v>
      </c>
      <c r="I58" s="724" t="s">
        <v>26</v>
      </c>
      <c r="J58" s="737">
        <f>SUMIF(반곡리!$T$1:$T$417,"하천",반곡리!$AC$1:$AC685)</f>
        <v>0</v>
      </c>
      <c r="K58" s="731">
        <f>SUMIF(반곡리!$T$1:$T$417,"하천",반곡리!$AD$1:$AD685)</f>
        <v>0</v>
      </c>
      <c r="L58" s="727">
        <f>SUMIF(반곡리!$T$1:$T$417,"하천",반곡리!$AE$1:$AE685)</f>
        <v>0</v>
      </c>
      <c r="M58" s="736">
        <f>SUMIF(반곡리!$T$1:$T$417,"하천",반곡리!$AF$1:$AF685)</f>
        <v>0</v>
      </c>
      <c r="N58" s="724" t="s">
        <v>26</v>
      </c>
      <c r="O58" s="737">
        <f>SUMIF(반곡리!$T$1:$T$417,"하천",반곡리!$AH$1:$AH685)</f>
        <v>0</v>
      </c>
      <c r="P58" s="731">
        <f>SUMIF(반곡리!$T$1:$T$417,"하천",반곡리!$AI$1:$AI685)</f>
        <v>0</v>
      </c>
      <c r="Q58" s="738">
        <f t="shared" si="2"/>
        <v>0</v>
      </c>
    </row>
    <row r="59" spans="1:17" s="20" customFormat="1" ht="24" customHeight="1" x14ac:dyDescent="0.15">
      <c r="A59" s="721" t="s">
        <v>33</v>
      </c>
      <c r="B59" s="727">
        <f>SUMIF(반곡리!$T$1:$T$417,"구거",반곡리!$U$1:$U686)</f>
        <v>1</v>
      </c>
      <c r="C59" s="736">
        <f>SUMIF(반곡리!$T$1:$T$417,"구거",반곡리!$V$1:$V686)</f>
        <v>1</v>
      </c>
      <c r="D59" s="724" t="s">
        <v>26</v>
      </c>
      <c r="E59" s="737">
        <f>SUMIF(반곡리!$T$1:$T$417,"구거",반곡리!$X$1:$X686)</f>
        <v>6</v>
      </c>
      <c r="F59" s="731">
        <f>SUMIF(반곡리!$T$1:$T$417,"구거",반곡리!$Y$1:$Y686)</f>
        <v>6</v>
      </c>
      <c r="G59" s="727">
        <f>SUMIF(반곡리!$T$1:$T$417,"구거",반곡리!Z$1:$Z686)</f>
        <v>1</v>
      </c>
      <c r="H59" s="736">
        <f>SUMIF(반곡리!$T$1:$T$417,"구거",반곡리!$AA$1:AA686)</f>
        <v>1</v>
      </c>
      <c r="I59" s="724" t="s">
        <v>26</v>
      </c>
      <c r="J59" s="737">
        <f>SUMIF(반곡리!$T$1:$T$417,"구거",반곡리!$AC$1:$AC686)</f>
        <v>6</v>
      </c>
      <c r="K59" s="731">
        <f>SUMIF(반곡리!$T$1:$T$417,"구거",반곡리!$AD$1:$AD686)</f>
        <v>6</v>
      </c>
      <c r="L59" s="727">
        <f>SUMIF(반곡리!$T$1:$T$417,"구거",반곡리!$AE$1:$AE686)</f>
        <v>0</v>
      </c>
      <c r="M59" s="736">
        <f>SUMIF(반곡리!$T$1:$T$417,"구거",반곡리!$AF$1:$AF686)</f>
        <v>0</v>
      </c>
      <c r="N59" s="724" t="s">
        <v>26</v>
      </c>
      <c r="O59" s="737">
        <f>SUMIF(반곡리!$T$1:$T$417,"구거",반곡리!$AH$1:$AH686)</f>
        <v>0</v>
      </c>
      <c r="P59" s="731">
        <f>SUMIF(반곡리!$T$1:$T$417,"구거",반곡리!$AI$1:$AI686)</f>
        <v>0</v>
      </c>
      <c r="Q59" s="738">
        <f t="shared" si="2"/>
        <v>0</v>
      </c>
    </row>
    <row r="60" spans="1:17" s="20" customFormat="1" ht="24" customHeight="1" x14ac:dyDescent="0.15">
      <c r="A60" s="741" t="s">
        <v>34</v>
      </c>
      <c r="B60" s="742">
        <f>SUMIF(반곡리!$T$1:$T$417,"제방",반곡리!$U$1:$U687)</f>
        <v>0</v>
      </c>
      <c r="C60" s="743">
        <f>SUMIF(반곡리!$T$1:$T$417,"제방",반곡리!$V$1:$V687)</f>
        <v>0</v>
      </c>
      <c r="D60" s="744" t="s">
        <v>26</v>
      </c>
      <c r="E60" s="745">
        <f>SUMIF(반곡리!$T$1:$T$417,"제방",반곡리!$X$1:$X687)</f>
        <v>0</v>
      </c>
      <c r="F60" s="746">
        <f>SUMIF(반곡리!$T$1:$T$417,"제방",반곡리!$Y$1:$Y687)</f>
        <v>0</v>
      </c>
      <c r="G60" s="742">
        <f>SUMIF(반곡리!$T$1:$T$417,"제방",반곡리!Z$1:$Z687)</f>
        <v>0</v>
      </c>
      <c r="H60" s="747">
        <f>SUMIF(반곡리!$T$1:$T$417,"제방",반곡리!$AA$1:AA687)</f>
        <v>0</v>
      </c>
      <c r="I60" s="744" t="s">
        <v>26</v>
      </c>
      <c r="J60" s="745">
        <f>SUMIF(반곡리!$T$1:$T$417,"제방",반곡리!$AC$1:$AC687)</f>
        <v>0</v>
      </c>
      <c r="K60" s="748">
        <f>SUMIF(반곡리!$T$1:$T$417,"제방",반곡리!$AD$1:$AD687)</f>
        <v>0</v>
      </c>
      <c r="L60" s="742">
        <f>SUMIF(반곡리!$T$1:$T$417,"제방",반곡리!$AE$1:$AE687)</f>
        <v>0</v>
      </c>
      <c r="M60" s="747">
        <f>SUMIF(반곡리!$T$1:$T$417,"제방",반곡리!$AF$1:$AF687)</f>
        <v>0</v>
      </c>
      <c r="N60" s="744" t="s">
        <v>26</v>
      </c>
      <c r="O60" s="745">
        <f>SUMIF(반곡리!$T$1:$T$417,"제방",반곡리!$AH$1:$AH687)</f>
        <v>0</v>
      </c>
      <c r="P60" s="748">
        <f>SUMIF(반곡리!$T$1:$T$417,"제방",반곡리!$AI$1:$AI687)</f>
        <v>0</v>
      </c>
      <c r="Q60" s="749">
        <f t="shared" si="2"/>
        <v>0</v>
      </c>
    </row>
    <row r="61" spans="1:17" s="20" customFormat="1" ht="24" hidden="1" customHeight="1" x14ac:dyDescent="0.15">
      <c r="A61" s="166" t="s">
        <v>15</v>
      </c>
      <c r="B61" s="30">
        <f>SUMIF(반곡리!$T$1:$T$417,"유지",반곡리!$U$1:$U688)</f>
        <v>0</v>
      </c>
      <c r="C61" s="188">
        <f>SUMIF(반곡리!$T$1:$T$417,"유지",반곡리!$V$1:$V688)</f>
        <v>0</v>
      </c>
      <c r="D61" s="8" t="s">
        <v>26</v>
      </c>
      <c r="E61" s="91">
        <f>SUMIF(반곡리!$T$1:$T$417,"유지",반곡리!$X$1:$X688)</f>
        <v>0</v>
      </c>
      <c r="F61" s="198">
        <f>SUMIF(반곡리!$T$1:$T$417,"유지",반곡리!$Y$1:$Y688)</f>
        <v>0</v>
      </c>
      <c r="G61" s="30">
        <f>SUMIF(반곡리!$T$1:$T$417,"유지",반곡리!Z$1:$Z688)</f>
        <v>0</v>
      </c>
      <c r="H61" s="187">
        <f>SUMIF(반곡리!$T$1:$T$417,"유지",반곡리!$AA$1:AA688)</f>
        <v>0</v>
      </c>
      <c r="I61" s="8" t="s">
        <v>26</v>
      </c>
      <c r="J61" s="91">
        <f>SUMIF(반곡리!$T$1:$T$417,"유지",반곡리!$AC$1:$AC688)</f>
        <v>0</v>
      </c>
      <c r="K61" s="197">
        <f>SUMIF(반곡리!$T$1:$T$417,"유지",반곡리!$AD$1:$AD688)</f>
        <v>0</v>
      </c>
      <c r="L61" s="30">
        <f>SUMIF(반곡리!$T$1:$T$417,"유지",반곡리!$AE$1:$AE688)</f>
        <v>0</v>
      </c>
      <c r="M61" s="187">
        <f>SUMIF(반곡리!$T$1:$T$417,"유지",반곡리!$AF$1:$AF688)</f>
        <v>0</v>
      </c>
      <c r="N61" s="8" t="s">
        <v>26</v>
      </c>
      <c r="O61" s="91">
        <f>SUMIF(반곡리!$T$1:$T$417,"유지",반곡리!$AH$1:$AH688)</f>
        <v>0</v>
      </c>
      <c r="P61" s="197">
        <f>SUMIF(반곡리!$T$1:$T$417,"유지",반곡리!$AI$1:$AI688)</f>
        <v>0</v>
      </c>
      <c r="Q61" s="201">
        <f t="shared" si="2"/>
        <v>0</v>
      </c>
    </row>
    <row r="62" spans="1:17" s="20" customFormat="1" ht="24" customHeight="1" x14ac:dyDescent="0.15">
      <c r="A62" s="166" t="s">
        <v>35</v>
      </c>
      <c r="B62" s="30">
        <f>SUMIF(반곡리!$T$1:$T$417,"잡종지",반곡리!$U$1:$U689)</f>
        <v>0</v>
      </c>
      <c r="C62" s="188">
        <f>SUMIF(반곡리!$T$1:$T$417,"잡종지",반곡리!$V$1:$V689)</f>
        <v>0</v>
      </c>
      <c r="D62" s="8" t="s">
        <v>26</v>
      </c>
      <c r="E62" s="91">
        <f>SUMIF(반곡리!$T$1:$T$417,"잡종지",반곡리!$X$1:$X689)</f>
        <v>0</v>
      </c>
      <c r="F62" s="198">
        <f>SUMIF(반곡리!$T$1:$T$417,"잡종지",반곡리!$Y$1:$Y689)</f>
        <v>0</v>
      </c>
      <c r="G62" s="30">
        <f>SUMIF(반곡리!$T$1:$T$417,"잡종지",반곡리!Z$1:$Z689)</f>
        <v>0</v>
      </c>
      <c r="H62" s="187">
        <f>SUMIF(반곡리!$T$1:$T$417,"잡종지",반곡리!$AA$1:AA689)</f>
        <v>0</v>
      </c>
      <c r="I62" s="8" t="s">
        <v>26</v>
      </c>
      <c r="J62" s="91">
        <f>SUMIF(반곡리!$T$1:$T$417,"잡종지",반곡리!$AC$1:$AC689)</f>
        <v>0</v>
      </c>
      <c r="K62" s="197">
        <f>SUMIF(반곡리!$T$1:$T$417,"잡종지",반곡리!$AD$1:$AD689)</f>
        <v>0</v>
      </c>
      <c r="L62" s="30">
        <f>SUMIF(반곡리!$T$1:$T$417,"잡종지",반곡리!$AE$1:$AE689)</f>
        <v>0</v>
      </c>
      <c r="M62" s="187">
        <f>SUMIF(반곡리!$T$1:$T$417,"잡종지",반곡리!$AF$1:$AF689)</f>
        <v>0</v>
      </c>
      <c r="N62" s="8" t="s">
        <v>26</v>
      </c>
      <c r="O62" s="91">
        <f>SUMIF(반곡리!$T$1:$T$417,"잡종지",반곡리!$AH$1:$AH689)</f>
        <v>0</v>
      </c>
      <c r="P62" s="197">
        <f>SUMIF(반곡리!$T$1:$T$417,"잡종지",반곡리!$AI$1:$AI689)</f>
        <v>0</v>
      </c>
      <c r="Q62" s="201">
        <f t="shared" si="2"/>
        <v>0</v>
      </c>
    </row>
    <row r="63" spans="1:17" s="20" customFormat="1" ht="24" customHeight="1" x14ac:dyDescent="0.15">
      <c r="A63" s="166" t="s">
        <v>36</v>
      </c>
      <c r="B63" s="30">
        <f>SUMIF(반곡리!$T$1:$T$417,"묘지",반곡리!$U$1:$U690)</f>
        <v>0</v>
      </c>
      <c r="C63" s="187">
        <f>SUMIF(반곡리!$T$1:$T$417,"묘지",반곡리!$V$1:$V690)</f>
        <v>0</v>
      </c>
      <c r="D63" s="8" t="s">
        <v>26</v>
      </c>
      <c r="E63" s="91">
        <f>SUMIF(반곡리!$T$1:$T$417,"묘지",반곡리!$X$1:$X690)</f>
        <v>0</v>
      </c>
      <c r="F63" s="197">
        <f>SUMIF(반곡리!$T$1:$T$417,"묘지",반곡리!$Y$1:$Y690)</f>
        <v>0</v>
      </c>
      <c r="G63" s="30">
        <f>SUMIF(반곡리!$T$1:$T$417,"묘지",반곡리!Z$1:$Z690)</f>
        <v>0</v>
      </c>
      <c r="H63" s="187">
        <f>SUMIF(반곡리!$T$1:$T$417,"묘지",반곡리!$AA$1:AA690)</f>
        <v>0</v>
      </c>
      <c r="I63" s="8" t="s">
        <v>26</v>
      </c>
      <c r="J63" s="91">
        <f>SUMIF(반곡리!$T$1:$T$417,"묘지",반곡리!$AC$1:$AC690)</f>
        <v>0</v>
      </c>
      <c r="K63" s="197">
        <f>SUMIF(반곡리!$T$1:$T$417,"묘지",반곡리!$AD$1:$AD690)</f>
        <v>0</v>
      </c>
      <c r="L63" s="30">
        <f>SUMIF(반곡리!$T$1:$T$417,"묘지",반곡리!$AE$1:$AE690)</f>
        <v>0</v>
      </c>
      <c r="M63" s="187">
        <f>SUMIF(반곡리!$T$1:$T$417,"묘지",반곡리!$AF$1:$AF690)</f>
        <v>0</v>
      </c>
      <c r="N63" s="8" t="s">
        <v>26</v>
      </c>
      <c r="O63" s="91">
        <f>SUMIF(반곡리!$T$1:$T$417,"묘지",반곡리!$AH$1:$AH690)</f>
        <v>0</v>
      </c>
      <c r="P63" s="197">
        <f>SUMIF(반곡리!$T$1:$T$417,"묘지",반곡리!$AI$1:$AI690)</f>
        <v>0</v>
      </c>
      <c r="Q63" s="201">
        <f t="shared" si="2"/>
        <v>0</v>
      </c>
    </row>
    <row r="64" spans="1:17" s="20" customFormat="1" ht="24" hidden="1" customHeight="1" x14ac:dyDescent="0.15">
      <c r="A64" s="166" t="s">
        <v>218</v>
      </c>
      <c r="B64" s="30">
        <f>SUMIF(반곡리!$T$1:$T$417,"주유소",반곡리!$U$1:$U691)</f>
        <v>0</v>
      </c>
      <c r="C64" s="188">
        <f>SUMIF(반곡리!$T$1:$T$417,"주유소",반곡리!$V$1:$V691)</f>
        <v>0</v>
      </c>
      <c r="D64" s="8" t="s">
        <v>26</v>
      </c>
      <c r="E64" s="91">
        <f>SUMIF(반곡리!$T$1:$T$417,"주유소",반곡리!$X$1:$X691)</f>
        <v>0</v>
      </c>
      <c r="F64" s="198">
        <f>SUMIF(반곡리!$T$1:$T$417,"주유소",반곡리!$Y$1:$Y691)</f>
        <v>0</v>
      </c>
      <c r="G64" s="30">
        <f>SUMIF(반곡리!$T$1:$T$417,"주유소",반곡리!Z$1:$Z691)</f>
        <v>0</v>
      </c>
      <c r="H64" s="187">
        <f>SUMIF(반곡리!$T$1:$T$417,"주유소",반곡리!$AA$1:AA691)</f>
        <v>0</v>
      </c>
      <c r="I64" s="8" t="s">
        <v>26</v>
      </c>
      <c r="J64" s="91">
        <f>SUMIF(반곡리!$T$1:$T$417,"주유소",반곡리!$AC$1:$AC691)</f>
        <v>0</v>
      </c>
      <c r="K64" s="197">
        <f>SUMIF(반곡리!$T$1:$T$417,"주유소",반곡리!$AD$1:$AD691)</f>
        <v>0</v>
      </c>
      <c r="L64" s="30">
        <f>SUMIF(반곡리!$T$1:$T$417,"주유소",반곡리!$AE$1:$AE691)</f>
        <v>0</v>
      </c>
      <c r="M64" s="187">
        <f>SUMIF(반곡리!$T$1:$T$417,"주유소",반곡리!$AF$1:$AF691)</f>
        <v>0</v>
      </c>
      <c r="N64" s="8" t="s">
        <v>26</v>
      </c>
      <c r="O64" s="91">
        <f>SUMIF(반곡리!$T$1:$T$417,"주유소",반곡리!$AH$1:$AH691)</f>
        <v>0</v>
      </c>
      <c r="P64" s="197">
        <f>SUMIF(반곡리!$T$1:$T$417,"주유소",반곡리!$AI$1:$AI691)</f>
        <v>0</v>
      </c>
      <c r="Q64" s="201">
        <f t="shared" si="2"/>
        <v>0</v>
      </c>
    </row>
    <row r="65" spans="1:17" s="20" customFormat="1" ht="24" customHeight="1" x14ac:dyDescent="0.15">
      <c r="A65" s="166" t="s">
        <v>2</v>
      </c>
      <c r="B65" s="30">
        <f>SUMIF(반곡리!$T$1:$T$417,"창고용지",반곡리!$U$1:$U692)</f>
        <v>0</v>
      </c>
      <c r="C65" s="188">
        <f>SUMIF(반곡리!$T$1:$T$417,"창고용지",반곡리!$V$1:$V692)</f>
        <v>0</v>
      </c>
      <c r="D65" s="8" t="s">
        <v>26</v>
      </c>
      <c r="E65" s="91">
        <f>SUMIF(반곡리!$T$1:$T$417,"창고용지",반곡리!$X$1:$X692)</f>
        <v>0</v>
      </c>
      <c r="F65" s="198">
        <f>SUMIF(반곡리!$T$1:$T$417,"창고용지",반곡리!$Y$1:$Y692)</f>
        <v>0</v>
      </c>
      <c r="G65" s="30">
        <f>SUMIF(반곡리!$T$1:$T$417,"창고용지",반곡리!Z$1:$Z691)</f>
        <v>0</v>
      </c>
      <c r="H65" s="187">
        <f>SUMIF(반곡리!$T$1:$T$417,"창고용지",반곡리!$AA$1:AA691)</f>
        <v>0</v>
      </c>
      <c r="I65" s="8" t="s">
        <v>26</v>
      </c>
      <c r="J65" s="91">
        <f>SUMIF(반곡리!$T$1:$T$417,"창고용지",반곡리!$AC$1:$AC691)</f>
        <v>0</v>
      </c>
      <c r="K65" s="197">
        <f>SUMIF(반곡리!$T$1:$T$417,"창고용지",반곡리!$AD$1:$AD691)</f>
        <v>0</v>
      </c>
      <c r="L65" s="30">
        <f>SUMIF(반곡리!$T$1:$T$417,"창고용지",반곡리!$AE$1:$AE691)</f>
        <v>0</v>
      </c>
      <c r="M65" s="187">
        <f>SUMIF(반곡리!$T$1:$T$417,"창고용지",반곡리!$AF$1:$AF691)</f>
        <v>0</v>
      </c>
      <c r="N65" s="8" t="s">
        <v>26</v>
      </c>
      <c r="O65" s="91">
        <f>SUMIF(반곡리!$T$1:$T$417,"창고용지",반곡리!$AH$1:$AH692)</f>
        <v>0</v>
      </c>
      <c r="P65" s="197">
        <f>SUMIF(반곡리!$T$1:$T$417,"창고용지",반곡리!$AI$1:$AI692)</f>
        <v>0</v>
      </c>
      <c r="Q65" s="201">
        <f t="shared" si="2"/>
        <v>0</v>
      </c>
    </row>
    <row r="66" spans="1:17" s="20" customFormat="1" ht="24" customHeight="1" x14ac:dyDescent="0.15">
      <c r="A66" s="166" t="s">
        <v>5</v>
      </c>
      <c r="B66" s="30">
        <f>SUMIF(반곡리!$T$1:$T$417,"목장용지",반곡리!$U$1:$U693)</f>
        <v>0</v>
      </c>
      <c r="C66" s="188">
        <f>SUMIF(반곡리!$T$1:$T$417,"목장용지",반곡리!$V$1:$V693)</f>
        <v>0</v>
      </c>
      <c r="D66" s="8" t="s">
        <v>26</v>
      </c>
      <c r="E66" s="91">
        <f>SUMIF(반곡리!$T$1:$T$417,"목장용지",반곡리!$X$1:$X693)</f>
        <v>0</v>
      </c>
      <c r="F66" s="198">
        <f>SUMIF(반곡리!$T$1:$T$417,"목장용지",반곡리!$Y$1:$Y693)</f>
        <v>0</v>
      </c>
      <c r="G66" s="30">
        <f>SUMIF(반곡리!$T$1:$T$417,"목장용지",반곡리!Z$1:$Z693)</f>
        <v>0</v>
      </c>
      <c r="H66" s="187">
        <f>SUMIF(반곡리!$T$1:$T$417,"목장용지",반곡리!$AA$1:AA693)</f>
        <v>0</v>
      </c>
      <c r="I66" s="8" t="s">
        <v>26</v>
      </c>
      <c r="J66" s="91">
        <f>SUMIF(반곡리!$T$1:$T$417,"목장용지",반곡리!$AC$1:$AC693)</f>
        <v>0</v>
      </c>
      <c r="K66" s="197">
        <f>SUMIF(반곡리!$T$1:$T$417,"목장용지",반곡리!$AD$1:$AD693)</f>
        <v>0</v>
      </c>
      <c r="L66" s="30">
        <f>SUMIF(반곡리!$T$1:$T$417,"목장용지",반곡리!$AE$1:$AE693)</f>
        <v>0</v>
      </c>
      <c r="M66" s="187">
        <f>SUMIF(반곡리!$T$1:$T$417,"목장용지",반곡리!$AF$1:$AF693)</f>
        <v>0</v>
      </c>
      <c r="N66" s="8" t="s">
        <v>26</v>
      </c>
      <c r="O66" s="91">
        <f>SUMIF(반곡리!$T$1:$T$417,"목장용지",반곡리!$AH$1:$AH693)</f>
        <v>0</v>
      </c>
      <c r="P66" s="197">
        <f>SUMIF(반곡리!$T$1:$T$417,"목장용지",반곡리!$AI$1:$AI693)</f>
        <v>0</v>
      </c>
      <c r="Q66" s="201">
        <f t="shared" si="2"/>
        <v>0</v>
      </c>
    </row>
    <row r="67" spans="1:17" s="20" customFormat="1" ht="24" customHeight="1" x14ac:dyDescent="0.15">
      <c r="A67" s="166" t="s">
        <v>193</v>
      </c>
      <c r="B67" s="30">
        <f>SUMIF(반곡리!$T$1:$T$417,"학교용지",반곡리!$U$1:$U694)</f>
        <v>0</v>
      </c>
      <c r="C67" s="188">
        <f>SUMIF(반곡리!$T$1:$T$417,"학교용지",반곡리!$V$1:$V694)</f>
        <v>0</v>
      </c>
      <c r="D67" s="8" t="s">
        <v>26</v>
      </c>
      <c r="E67" s="91">
        <f>SUMIF(반곡리!$T$1:$T$417,"학교용지",반곡리!$X$1:$X694)</f>
        <v>0</v>
      </c>
      <c r="F67" s="198">
        <f>SUMIF(반곡리!$T$1:$T$417,"학교용지",반곡리!$Y$1:$Y694)</f>
        <v>0</v>
      </c>
      <c r="G67" s="30">
        <f>SUMIF(반곡리!$T$1:$T$417,"학교용지",반곡리!Z$1:$Z694)</f>
        <v>0</v>
      </c>
      <c r="H67" s="187">
        <f>SUMIF(반곡리!$T$1:$T$417,"학교용지",반곡리!$AA$1:AA694)</f>
        <v>0</v>
      </c>
      <c r="I67" s="8" t="s">
        <v>26</v>
      </c>
      <c r="J67" s="91">
        <f>SUMIF(반곡리!$T$1:$T$417,"학교용지",반곡리!$AC$1:$AC694)</f>
        <v>0</v>
      </c>
      <c r="K67" s="197">
        <f>SUMIF(반곡리!$T$1:$T$417,"학교용지",반곡리!$AD$1:$AD694)</f>
        <v>0</v>
      </c>
      <c r="L67" s="30">
        <f>SUMIF(반곡리!$T$1:$T$417,"학교용지",반곡리!$AE$1:$AE694)</f>
        <v>0</v>
      </c>
      <c r="M67" s="187">
        <f>SUMIF(반곡리!$T$1:$T$417,"학교용지",반곡리!$AF$1:$AF694)</f>
        <v>0</v>
      </c>
      <c r="N67" s="8" t="s">
        <v>26</v>
      </c>
      <c r="O67" s="91">
        <f>SUMIF(반곡리!$T$1:$T$417,"학교용지",반곡리!$AH$1:$AH694)</f>
        <v>0</v>
      </c>
      <c r="P67" s="197">
        <f>SUMIF(반곡리!$T$1:$T$417,"학교용지",반곡리!$AI$1:$AI694)</f>
        <v>0</v>
      </c>
      <c r="Q67" s="201">
        <f t="shared" si="2"/>
        <v>0</v>
      </c>
    </row>
    <row r="68" spans="1:17" s="20" customFormat="1" ht="24" customHeight="1" x14ac:dyDescent="0.15">
      <c r="A68" s="166" t="s">
        <v>40</v>
      </c>
      <c r="B68" s="30">
        <f>SUMIF(반곡리!$T$1:$T$417,"공장",반곡리!$U$1:$U695)</f>
        <v>0</v>
      </c>
      <c r="C68" s="188">
        <f>SUMIF(반곡리!$T$1:$T$417,"공장",반곡리!$V$1:$V695)</f>
        <v>0</v>
      </c>
      <c r="D68" s="8" t="s">
        <v>26</v>
      </c>
      <c r="E68" s="91">
        <f>SUMIF(반곡리!$T$1:$T$417,"공장",반곡리!$X$1:$X695)</f>
        <v>0</v>
      </c>
      <c r="F68" s="198">
        <f>SUMIF(반곡리!$T$1:$T$417,"공장",반곡리!$Y$1:$Y695)</f>
        <v>0</v>
      </c>
      <c r="G68" s="30">
        <f>SUMIF(반곡리!$T$1:$T$417,"공장",반곡리!Z$1:$Z695)</f>
        <v>0</v>
      </c>
      <c r="H68" s="187">
        <f>SUMIF(반곡리!$T$1:$T$417,"공장",반곡리!$AA$1:AA695)</f>
        <v>0</v>
      </c>
      <c r="I68" s="8" t="s">
        <v>26</v>
      </c>
      <c r="J68" s="91">
        <f>SUMIF(반곡리!$T$1:$T$417,"공장",반곡리!$AC$1:$AC695)</f>
        <v>0</v>
      </c>
      <c r="K68" s="197">
        <f>SUMIF(반곡리!$T$1:$T$417,"공장",반곡리!$AD$1:$AD695)</f>
        <v>0</v>
      </c>
      <c r="L68" s="30">
        <f>SUMIF(반곡리!$T$1:$T$417,"공장",반곡리!$AE$1:$AE695)</f>
        <v>0</v>
      </c>
      <c r="M68" s="187">
        <f>SUMIF(반곡리!$T$1:$T$417,"공장",반곡리!$AF$1:$AF695)</f>
        <v>0</v>
      </c>
      <c r="N68" s="8" t="s">
        <v>26</v>
      </c>
      <c r="O68" s="91">
        <f>SUMIF(반곡리!$T$1:$T$417,"공장",반곡리!$AH$1:$AH695)</f>
        <v>0</v>
      </c>
      <c r="P68" s="197">
        <f>SUMIF(반곡리!$T$1:$T$417,"공장",반곡리!$AI$1:$AI695)</f>
        <v>0</v>
      </c>
      <c r="Q68" s="201">
        <f t="shared" si="2"/>
        <v>0</v>
      </c>
    </row>
    <row r="69" spans="1:17" s="20" customFormat="1" ht="24" customHeight="1" thickBot="1" x14ac:dyDescent="0.2">
      <c r="A69" s="167" t="s">
        <v>16</v>
      </c>
      <c r="B69" s="168">
        <f>SUMIF(반곡리!$T$1:$T$417,"기타",반곡리!$U$1:$U696)</f>
        <v>0</v>
      </c>
      <c r="C69" s="189">
        <f>SUMIF(반곡리!$T$1:$T$417,"기타",반곡리!$V$1:$V696)</f>
        <v>0</v>
      </c>
      <c r="D69" s="169" t="s">
        <v>26</v>
      </c>
      <c r="E69" s="174">
        <f>SUMIF(반곡리!$T$1:$T$417,"기타",반곡리!$X$1:$X696)</f>
        <v>0</v>
      </c>
      <c r="F69" s="199">
        <f>SUMIF(반곡리!$T$1:$T$417,"기타",반곡리!$Y$1:$Y696)</f>
        <v>0</v>
      </c>
      <c r="G69" s="168">
        <f>SUMIF(반곡리!$T$1:$T$417,"기타",반곡리!Z$1:$Z696)</f>
        <v>0</v>
      </c>
      <c r="H69" s="190">
        <f>SUMIF(반곡리!$T$1:$T$417,"기타",반곡리!$AA$1:AA696)</f>
        <v>0</v>
      </c>
      <c r="I69" s="169" t="s">
        <v>26</v>
      </c>
      <c r="J69" s="174">
        <f>SUMIF(반곡리!$T$1:$T$417,"기타",반곡리!$AC$1:$AC696)</f>
        <v>0</v>
      </c>
      <c r="K69" s="200">
        <f>SUMIF(반곡리!$T$1:$T$417,"기타",반곡리!$AD$1:$AD696)</f>
        <v>0</v>
      </c>
      <c r="L69" s="168">
        <f>SUMIF(반곡리!$T$1:$T$417,"기타",반곡리!$AE$1:$AE696)</f>
        <v>0</v>
      </c>
      <c r="M69" s="190">
        <f>SUMIF(반곡리!$T$1:$T$417,"기타",반곡리!$AF$1:$AF696)</f>
        <v>0</v>
      </c>
      <c r="N69" s="169" t="s">
        <v>26</v>
      </c>
      <c r="O69" s="174">
        <f>SUMIF(반곡리!$T$1:$T$417,"기타",반곡리!$AH$1:$AH696)</f>
        <v>0</v>
      </c>
      <c r="P69" s="200">
        <f>SUMIF(두미리!$T$1:$T$417,"기타",두미리!$AI$1:$AI696)</f>
        <v>0</v>
      </c>
      <c r="Q69" s="202">
        <f t="shared" si="2"/>
        <v>0</v>
      </c>
    </row>
    <row r="70" spans="1:17" ht="24.95" hidden="1" customHeight="1" x14ac:dyDescent="0.15">
      <c r="A70" s="40" t="s">
        <v>65</v>
      </c>
      <c r="B70" s="1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s="20" customFormat="1" ht="20.100000000000001" hidden="1" customHeight="1" x14ac:dyDescent="0.15">
      <c r="A71" s="52"/>
      <c r="B71" s="5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53" t="s">
        <v>99</v>
      </c>
    </row>
    <row r="72" spans="1:17" s="20" customFormat="1" ht="29.1" hidden="1" customHeight="1" x14ac:dyDescent="0.15">
      <c r="A72" s="1064" t="s">
        <v>23</v>
      </c>
      <c r="B72" s="25" t="s">
        <v>24</v>
      </c>
      <c r="C72" s="25"/>
      <c r="D72" s="25"/>
      <c r="E72" s="25"/>
      <c r="F72" s="47"/>
      <c r="G72" s="25" t="s">
        <v>57</v>
      </c>
      <c r="H72" s="25"/>
      <c r="I72" s="25"/>
      <c r="J72" s="25"/>
      <c r="K72" s="47"/>
      <c r="L72" s="25" t="s">
        <v>41</v>
      </c>
      <c r="M72" s="25"/>
      <c r="N72" s="25"/>
      <c r="O72" s="25"/>
      <c r="P72" s="25"/>
      <c r="Q72" s="1067" t="s">
        <v>66</v>
      </c>
    </row>
    <row r="73" spans="1:17" s="20" customFormat="1" ht="29.1" hidden="1" customHeight="1" x14ac:dyDescent="0.15">
      <c r="A73" s="1065"/>
      <c r="B73" s="1070" t="s">
        <v>63</v>
      </c>
      <c r="C73" s="1071"/>
      <c r="D73" s="36" t="s">
        <v>26</v>
      </c>
      <c r="E73" s="1071" t="s">
        <v>43</v>
      </c>
      <c r="F73" s="1072"/>
      <c r="G73" s="1070" t="s">
        <v>63</v>
      </c>
      <c r="H73" s="1071"/>
      <c r="I73" s="36" t="s">
        <v>26</v>
      </c>
      <c r="J73" s="1071" t="s">
        <v>43</v>
      </c>
      <c r="K73" s="1072"/>
      <c r="L73" s="1070" t="s">
        <v>63</v>
      </c>
      <c r="M73" s="1072"/>
      <c r="N73" s="36" t="s">
        <v>26</v>
      </c>
      <c r="O73" s="1071" t="s">
        <v>43</v>
      </c>
      <c r="P73" s="1072"/>
      <c r="Q73" s="1068"/>
    </row>
    <row r="74" spans="1:17" s="20" customFormat="1" ht="29.1" hidden="1" customHeight="1" x14ac:dyDescent="0.15">
      <c r="A74" s="1066"/>
      <c r="B74" s="46" t="s">
        <v>61</v>
      </c>
      <c r="C74" s="46" t="s">
        <v>62</v>
      </c>
      <c r="D74" s="44" t="s">
        <v>26</v>
      </c>
      <c r="E74" s="44" t="s">
        <v>61</v>
      </c>
      <c r="F74" s="46" t="s">
        <v>62</v>
      </c>
      <c r="G74" s="46" t="s">
        <v>61</v>
      </c>
      <c r="H74" s="46" t="s">
        <v>62</v>
      </c>
      <c r="I74" s="44" t="s">
        <v>26</v>
      </c>
      <c r="J74" s="44" t="s">
        <v>61</v>
      </c>
      <c r="K74" s="46" t="s">
        <v>62</v>
      </c>
      <c r="L74" s="46" t="s">
        <v>61</v>
      </c>
      <c r="M74" s="46" t="s">
        <v>62</v>
      </c>
      <c r="N74" s="44" t="s">
        <v>26</v>
      </c>
      <c r="O74" s="44" t="s">
        <v>61</v>
      </c>
      <c r="P74" s="46" t="s">
        <v>62</v>
      </c>
      <c r="Q74" s="1069"/>
    </row>
    <row r="75" spans="1:17" s="20" customFormat="1" ht="29.1" hidden="1" customHeight="1" x14ac:dyDescent="0.15">
      <c r="A75" s="85" t="s">
        <v>24</v>
      </c>
      <c r="B75" s="27" t="e">
        <f>SUMIF(#REF!,"계",#REF!)</f>
        <v>#REF!</v>
      </c>
      <c r="C75" s="27" t="e">
        <f>SUMIF(#REF!,"계",#REF!)</f>
        <v>#REF!</v>
      </c>
      <c r="D75" s="28" t="s">
        <v>26</v>
      </c>
      <c r="E75" s="29" t="e">
        <f>SUMIF(#REF!,"계",#REF!)</f>
        <v>#REF!</v>
      </c>
      <c r="F75" s="29" t="e">
        <f>SUMIF(#REF!,"계",#REF!)</f>
        <v>#REF!</v>
      </c>
      <c r="G75" s="27" t="e">
        <f>SUMIF(#REF!,"계",#REF!)</f>
        <v>#REF!</v>
      </c>
      <c r="H75" s="27" t="e">
        <f>SUMIF(#REF!,"계",#REF!)</f>
        <v>#REF!</v>
      </c>
      <c r="I75" s="28" t="s">
        <v>26</v>
      </c>
      <c r="J75" s="29" t="e">
        <f>SUMIF(#REF!,"계",#REF!)</f>
        <v>#REF!</v>
      </c>
      <c r="K75" s="29" t="e">
        <f>SUMIF(#REF!,"계",#REF!)</f>
        <v>#REF!</v>
      </c>
      <c r="L75" s="27" t="e">
        <f>SUMIF(#REF!,"계",#REF!)</f>
        <v>#REF!</v>
      </c>
      <c r="M75" s="27" t="e">
        <f>SUMIF(#REF!,"계",#REF!)</f>
        <v>#REF!</v>
      </c>
      <c r="N75" s="28" t="s">
        <v>26</v>
      </c>
      <c r="O75" s="29" t="e">
        <f>SUMIF(#REF!,"계",#REF!)</f>
        <v>#REF!</v>
      </c>
      <c r="P75" s="29" t="e">
        <f>SUMIF(#REF!,"계",#REF!)</f>
        <v>#REF!</v>
      </c>
      <c r="Q75" s="26" t="e">
        <f>F75-E75</f>
        <v>#REF!</v>
      </c>
    </row>
    <row r="76" spans="1:17" s="20" customFormat="1" ht="29.1" hidden="1" customHeight="1" x14ac:dyDescent="0.15">
      <c r="A76" s="54" t="s">
        <v>27</v>
      </c>
      <c r="B76" s="30" t="e">
        <f>SUMIF(#REF!,"전",#REF!)</f>
        <v>#REF!</v>
      </c>
      <c r="C76" s="30" t="e">
        <f>SUMIF(#REF!,"전",#REF!)</f>
        <v>#REF!</v>
      </c>
      <c r="D76" s="8" t="s">
        <v>26</v>
      </c>
      <c r="E76" s="31" t="e">
        <f>SUMIF(#REF!,"전",#REF!)</f>
        <v>#REF!</v>
      </c>
      <c r="F76" s="31" t="e">
        <f>SUMIF(#REF!,"전",#REF!)</f>
        <v>#REF!</v>
      </c>
      <c r="G76" s="30" t="e">
        <f>SUMIF(#REF!,"전",#REF!)</f>
        <v>#REF!</v>
      </c>
      <c r="H76" s="30" t="e">
        <f>SUMIF(#REF!,"전",#REF!)</f>
        <v>#REF!</v>
      </c>
      <c r="I76" s="8" t="s">
        <v>26</v>
      </c>
      <c r="J76" s="31" t="e">
        <f>SUMIF(#REF!,"전",#REF!)</f>
        <v>#REF!</v>
      </c>
      <c r="K76" s="31" t="e">
        <f>SUMIF(#REF!,"전",#REF!)</f>
        <v>#REF!</v>
      </c>
      <c r="L76" s="30" t="e">
        <f>SUMIF(#REF!,"전",#REF!)</f>
        <v>#REF!</v>
      </c>
      <c r="M76" s="30" t="e">
        <f>SUMIF(#REF!,"전",#REF!)</f>
        <v>#REF!</v>
      </c>
      <c r="N76" s="8" t="s">
        <v>26</v>
      </c>
      <c r="O76" s="31" t="e">
        <f>SUMIF(#REF!,"전",#REF!)</f>
        <v>#REF!</v>
      </c>
      <c r="P76" s="31" t="e">
        <f>SUMIF(#REF!,"전",#REF!)</f>
        <v>#REF!</v>
      </c>
      <c r="Q76" s="21" t="e">
        <f t="shared" ref="Q76:Q92" si="3">F76-E76</f>
        <v>#REF!</v>
      </c>
    </row>
    <row r="77" spans="1:17" s="20" customFormat="1" ht="29.1" hidden="1" customHeight="1" x14ac:dyDescent="0.15">
      <c r="A77" s="54" t="s">
        <v>28</v>
      </c>
      <c r="B77" s="30" t="e">
        <f>SUMIF(#REF!,"답",#REF!)</f>
        <v>#REF!</v>
      </c>
      <c r="C77" s="30" t="e">
        <f>SUMIF(#REF!,"답",#REF!)</f>
        <v>#REF!</v>
      </c>
      <c r="D77" s="8" t="s">
        <v>26</v>
      </c>
      <c r="E77" s="31" t="e">
        <f>SUMIF(#REF!,"답",#REF!)</f>
        <v>#REF!</v>
      </c>
      <c r="F77" s="31" t="e">
        <f>SUMIF(#REF!,"답",#REF!)</f>
        <v>#REF!</v>
      </c>
      <c r="G77" s="30" t="e">
        <f>SUMIF(#REF!,"답",#REF!)</f>
        <v>#REF!</v>
      </c>
      <c r="H77" s="30" t="e">
        <f>SUMIF(#REF!,"답",#REF!)</f>
        <v>#REF!</v>
      </c>
      <c r="I77" s="8" t="s">
        <v>26</v>
      </c>
      <c r="J77" s="31" t="e">
        <f>SUMIF(#REF!,"답",#REF!)</f>
        <v>#REF!</v>
      </c>
      <c r="K77" s="31" t="e">
        <f>SUMIF(#REF!,"답",#REF!)</f>
        <v>#REF!</v>
      </c>
      <c r="L77" s="30" t="e">
        <f>SUMIF(#REF!,"답",#REF!)</f>
        <v>#REF!</v>
      </c>
      <c r="M77" s="30" t="e">
        <f>SUMIF(#REF!,"답",#REF!)</f>
        <v>#REF!</v>
      </c>
      <c r="N77" s="8" t="s">
        <v>26</v>
      </c>
      <c r="O77" s="31" t="e">
        <f>SUMIF(#REF!,"답",#REF!)</f>
        <v>#REF!</v>
      </c>
      <c r="P77" s="31" t="e">
        <f>SUMIF(#REF!,"답",#REF!)</f>
        <v>#REF!</v>
      </c>
      <c r="Q77" s="21" t="e">
        <f t="shared" si="3"/>
        <v>#REF!</v>
      </c>
    </row>
    <row r="78" spans="1:17" s="20" customFormat="1" ht="29.1" hidden="1" customHeight="1" x14ac:dyDescent="0.15">
      <c r="A78" s="54" t="s">
        <v>29</v>
      </c>
      <c r="B78" s="30" t="e">
        <f>SUMIF(#REF!,"대지",#REF!)</f>
        <v>#REF!</v>
      </c>
      <c r="C78" s="30" t="e">
        <f>SUMIF(#REF!,"대지",#REF!)</f>
        <v>#REF!</v>
      </c>
      <c r="D78" s="8" t="s">
        <v>26</v>
      </c>
      <c r="E78" s="31" t="e">
        <f>SUMIF(#REF!,"대지",#REF!)</f>
        <v>#REF!</v>
      </c>
      <c r="F78" s="31" t="e">
        <f>SUMIF(#REF!,"대지",#REF!)</f>
        <v>#REF!</v>
      </c>
      <c r="G78" s="30" t="e">
        <f>SUMIF(#REF!,"대지",#REF!)</f>
        <v>#REF!</v>
      </c>
      <c r="H78" s="30" t="e">
        <f>SUMIF(#REF!,"대지",#REF!)</f>
        <v>#REF!</v>
      </c>
      <c r="I78" s="8" t="s">
        <v>26</v>
      </c>
      <c r="J78" s="31" t="e">
        <f>SUMIF(#REF!,"대지",#REF!)</f>
        <v>#REF!</v>
      </c>
      <c r="K78" s="31" t="e">
        <f>SUMIF(#REF!,"대지",#REF!)</f>
        <v>#REF!</v>
      </c>
      <c r="L78" s="30" t="e">
        <f>SUMIF(#REF!,"대지",#REF!)</f>
        <v>#REF!</v>
      </c>
      <c r="M78" s="30" t="e">
        <f>SUMIF(#REF!,"대지",#REF!)</f>
        <v>#REF!</v>
      </c>
      <c r="N78" s="8" t="s">
        <v>26</v>
      </c>
      <c r="O78" s="31" t="e">
        <f>SUMIF(#REF!,"대지",#REF!)</f>
        <v>#REF!</v>
      </c>
      <c r="P78" s="31" t="e">
        <f>SUMIF(#REF!,"대지",#REF!)</f>
        <v>#REF!</v>
      </c>
      <c r="Q78" s="21" t="e">
        <f t="shared" si="3"/>
        <v>#REF!</v>
      </c>
    </row>
    <row r="79" spans="1:17" s="20" customFormat="1" ht="29.1" hidden="1" customHeight="1" x14ac:dyDescent="0.15">
      <c r="A79" s="54" t="s">
        <v>30</v>
      </c>
      <c r="B79" s="30" t="e">
        <f>SUMIF(#REF!,"임야",#REF!)</f>
        <v>#REF!</v>
      </c>
      <c r="C79" s="30" t="e">
        <f>SUMIF(#REF!,"임야",#REF!)</f>
        <v>#REF!</v>
      </c>
      <c r="D79" s="8" t="s">
        <v>26</v>
      </c>
      <c r="E79" s="31" t="e">
        <f>SUMIF(#REF!,"임야",#REF!)</f>
        <v>#REF!</v>
      </c>
      <c r="F79" s="31" t="e">
        <f>SUMIF(#REF!,"임야",#REF!)</f>
        <v>#REF!</v>
      </c>
      <c r="G79" s="30" t="e">
        <f>SUMIF(#REF!,"임야",#REF!)</f>
        <v>#REF!</v>
      </c>
      <c r="H79" s="30" t="e">
        <f>SUMIF(#REF!,"임야",#REF!)</f>
        <v>#REF!</v>
      </c>
      <c r="I79" s="8" t="s">
        <v>26</v>
      </c>
      <c r="J79" s="31" t="e">
        <f>SUMIF(#REF!,"임야",#REF!)</f>
        <v>#REF!</v>
      </c>
      <c r="K79" s="31" t="e">
        <f>SUMIF(#REF!,"임야",#REF!)</f>
        <v>#REF!</v>
      </c>
      <c r="L79" s="30" t="e">
        <f>SUMIF(#REF!,"임야",#REF!)</f>
        <v>#REF!</v>
      </c>
      <c r="M79" s="30" t="e">
        <f>SUMIF(#REF!,"임야",#REF!)</f>
        <v>#REF!</v>
      </c>
      <c r="N79" s="8" t="s">
        <v>26</v>
      </c>
      <c r="O79" s="31" t="e">
        <f>SUMIF(#REF!,"임야",#REF!)</f>
        <v>#REF!</v>
      </c>
      <c r="P79" s="31" t="e">
        <f>SUMIF(#REF!,"임야",#REF!)</f>
        <v>#REF!</v>
      </c>
      <c r="Q79" s="21" t="e">
        <f t="shared" si="3"/>
        <v>#REF!</v>
      </c>
    </row>
    <row r="80" spans="1:17" s="20" customFormat="1" ht="29.1" hidden="1" customHeight="1" x14ac:dyDescent="0.15">
      <c r="A80" s="54" t="s">
        <v>31</v>
      </c>
      <c r="B80" s="30" t="e">
        <f>SUMIF(#REF!,"도로",#REF!)</f>
        <v>#REF!</v>
      </c>
      <c r="C80" s="30" t="e">
        <f>SUMIF(#REF!,"도로",#REF!)</f>
        <v>#REF!</v>
      </c>
      <c r="D80" s="8" t="s">
        <v>26</v>
      </c>
      <c r="E80" s="31" t="e">
        <f>SUMIF(#REF!,"도로",#REF!)</f>
        <v>#REF!</v>
      </c>
      <c r="F80" s="31" t="e">
        <f>SUMIF(#REF!,"도로",#REF!)</f>
        <v>#REF!</v>
      </c>
      <c r="G80" s="30" t="e">
        <f>SUMIF(#REF!,"도로",#REF!)</f>
        <v>#REF!</v>
      </c>
      <c r="H80" s="30" t="e">
        <f>SUMIF(#REF!,"도로",#REF!)</f>
        <v>#REF!</v>
      </c>
      <c r="I80" s="8" t="s">
        <v>26</v>
      </c>
      <c r="J80" s="31" t="e">
        <f>SUMIF(#REF!,"도로",#REF!)</f>
        <v>#REF!</v>
      </c>
      <c r="K80" s="31" t="e">
        <f>SUMIF(#REF!,"도로",#REF!)</f>
        <v>#REF!</v>
      </c>
      <c r="L80" s="30" t="e">
        <f>SUMIF(#REF!,"도로",#REF!)</f>
        <v>#REF!</v>
      </c>
      <c r="M80" s="30" t="e">
        <f>SUMIF(#REF!,"도로",#REF!)</f>
        <v>#REF!</v>
      </c>
      <c r="N80" s="8" t="s">
        <v>26</v>
      </c>
      <c r="O80" s="31" t="e">
        <f>SUMIF(#REF!,"도로",#REF!)</f>
        <v>#REF!</v>
      </c>
      <c r="P80" s="31" t="e">
        <f>SUMIF(#REF!,"도로",#REF!)</f>
        <v>#REF!</v>
      </c>
      <c r="Q80" s="21" t="e">
        <f t="shared" si="3"/>
        <v>#REF!</v>
      </c>
    </row>
    <row r="81" spans="1:17" s="20" customFormat="1" ht="29.1" hidden="1" customHeight="1" x14ac:dyDescent="0.15">
      <c r="A81" s="54" t="s">
        <v>32</v>
      </c>
      <c r="B81" s="30" t="e">
        <f>SUMIF(#REF!,"하천",#REF!)</f>
        <v>#REF!</v>
      </c>
      <c r="C81" s="30" t="e">
        <f>SUMIF(#REF!,"하천",#REF!)</f>
        <v>#REF!</v>
      </c>
      <c r="D81" s="8" t="s">
        <v>26</v>
      </c>
      <c r="E81" s="31" t="e">
        <f>SUMIF(#REF!,"하천",#REF!)</f>
        <v>#REF!</v>
      </c>
      <c r="F81" s="31" t="e">
        <f>SUMIF(#REF!,"하천",#REF!)</f>
        <v>#REF!</v>
      </c>
      <c r="G81" s="30" t="e">
        <f>SUMIF(#REF!,"하천",#REF!)</f>
        <v>#REF!</v>
      </c>
      <c r="H81" s="30" t="e">
        <f>SUMIF(#REF!,"하천",#REF!)</f>
        <v>#REF!</v>
      </c>
      <c r="I81" s="8" t="s">
        <v>26</v>
      </c>
      <c r="J81" s="31" t="e">
        <f>SUMIF(#REF!,"하천",#REF!)</f>
        <v>#REF!</v>
      </c>
      <c r="K81" s="31" t="e">
        <f>SUMIF(#REF!,"하천",#REF!)</f>
        <v>#REF!</v>
      </c>
      <c r="L81" s="30" t="e">
        <f>SUMIF(#REF!,"하천",#REF!)</f>
        <v>#REF!</v>
      </c>
      <c r="M81" s="30" t="e">
        <f>SUMIF(#REF!,"하천",#REF!)</f>
        <v>#REF!</v>
      </c>
      <c r="N81" s="8" t="s">
        <v>26</v>
      </c>
      <c r="O81" s="31" t="e">
        <f>SUMIF(#REF!,"하천",#REF!)</f>
        <v>#REF!</v>
      </c>
      <c r="P81" s="31" t="e">
        <f>SUMIF(#REF!,"하천",#REF!)</f>
        <v>#REF!</v>
      </c>
      <c r="Q81" s="21" t="e">
        <f t="shared" si="3"/>
        <v>#REF!</v>
      </c>
    </row>
    <row r="82" spans="1:17" s="20" customFormat="1" ht="29.1" hidden="1" customHeight="1" x14ac:dyDescent="0.15">
      <c r="A82" s="54" t="s">
        <v>33</v>
      </c>
      <c r="B82" s="30" t="e">
        <f>SUMIF(#REF!,"구거",#REF!)</f>
        <v>#REF!</v>
      </c>
      <c r="C82" s="30" t="e">
        <f>SUMIF(#REF!,"구거",#REF!)</f>
        <v>#REF!</v>
      </c>
      <c r="D82" s="8" t="s">
        <v>26</v>
      </c>
      <c r="E82" s="31" t="e">
        <f>SUMIF(#REF!,"구거",#REF!)</f>
        <v>#REF!</v>
      </c>
      <c r="F82" s="31" t="e">
        <f>SUMIF(#REF!,"구거",#REF!)</f>
        <v>#REF!</v>
      </c>
      <c r="G82" s="30" t="e">
        <f>SUMIF(#REF!,"구거",#REF!)</f>
        <v>#REF!</v>
      </c>
      <c r="H82" s="30" t="e">
        <f>SUMIF(#REF!,"구거",#REF!)</f>
        <v>#REF!</v>
      </c>
      <c r="I82" s="8" t="s">
        <v>26</v>
      </c>
      <c r="J82" s="31" t="e">
        <f>SUMIF(#REF!,"구거",#REF!)</f>
        <v>#REF!</v>
      </c>
      <c r="K82" s="31" t="e">
        <f>SUMIF(#REF!,"구거",#REF!)</f>
        <v>#REF!</v>
      </c>
      <c r="L82" s="30" t="e">
        <f>SUMIF(#REF!,"구거",#REF!)</f>
        <v>#REF!</v>
      </c>
      <c r="M82" s="30" t="e">
        <f>SUMIF(#REF!,"구거",#REF!)</f>
        <v>#REF!</v>
      </c>
      <c r="N82" s="8" t="s">
        <v>26</v>
      </c>
      <c r="O82" s="31" t="e">
        <f>SUMIF(#REF!,"구거",#REF!)</f>
        <v>#REF!</v>
      </c>
      <c r="P82" s="31" t="e">
        <f>SUMIF(#REF!,"구거",#REF!)</f>
        <v>#REF!</v>
      </c>
      <c r="Q82" s="21" t="e">
        <f t="shared" si="3"/>
        <v>#REF!</v>
      </c>
    </row>
    <row r="83" spans="1:17" s="20" customFormat="1" ht="29.1" hidden="1" customHeight="1" x14ac:dyDescent="0.15">
      <c r="A83" s="54" t="s">
        <v>34</v>
      </c>
      <c r="B83" s="30" t="e">
        <f>SUMIF(#REF!,"제방",#REF!)</f>
        <v>#REF!</v>
      </c>
      <c r="C83" s="34" t="e">
        <f>SUMIF(#REF!,"제방",#REF!)</f>
        <v>#REF!</v>
      </c>
      <c r="D83" s="8" t="s">
        <v>26</v>
      </c>
      <c r="E83" s="31" t="e">
        <f>SUMIF(#REF!,"제방",#REF!)</f>
        <v>#REF!</v>
      </c>
      <c r="F83" s="35" t="e">
        <f>SUMIF(#REF!,"제방",#REF!)</f>
        <v>#REF!</v>
      </c>
      <c r="G83" s="30" t="e">
        <f>SUMIF(#REF!,"제방",#REF!)</f>
        <v>#REF!</v>
      </c>
      <c r="H83" s="30" t="e">
        <f>SUMIF(#REF!,"제방",#REF!)</f>
        <v>#REF!</v>
      </c>
      <c r="I83" s="8" t="s">
        <v>26</v>
      </c>
      <c r="J83" s="31" t="e">
        <f>SUMIF(#REF!,"제방",#REF!)</f>
        <v>#REF!</v>
      </c>
      <c r="K83" s="31" t="e">
        <f>SUMIF(#REF!,"제방",#REF!)</f>
        <v>#REF!</v>
      </c>
      <c r="L83" s="30" t="e">
        <f>SUMIF(#REF!,"제방",#REF!)</f>
        <v>#REF!</v>
      </c>
      <c r="M83" s="30" t="e">
        <f>SUMIF(#REF!,"제방",#REF!)</f>
        <v>#REF!</v>
      </c>
      <c r="N83" s="8" t="s">
        <v>26</v>
      </c>
      <c r="O83" s="31" t="e">
        <f>SUMIF(#REF!,"제방",#REF!)</f>
        <v>#REF!</v>
      </c>
      <c r="P83" s="31" t="e">
        <f>SUMIF(#REF!,"제방",#REF!)</f>
        <v>#REF!</v>
      </c>
      <c r="Q83" s="21" t="e">
        <f t="shared" si="3"/>
        <v>#REF!</v>
      </c>
    </row>
    <row r="84" spans="1:17" s="20" customFormat="1" ht="29.1" hidden="1" customHeight="1" x14ac:dyDescent="0.15">
      <c r="A84" s="54" t="s">
        <v>5</v>
      </c>
      <c r="B84" s="30" t="e">
        <f>SUMIF(#REF!,"목장용지",#REF!)</f>
        <v>#REF!</v>
      </c>
      <c r="C84" s="30" t="e">
        <f>SUMIF(#REF!,"목장용지",#REF!)</f>
        <v>#REF!</v>
      </c>
      <c r="D84" s="8" t="s">
        <v>26</v>
      </c>
      <c r="E84" s="31" t="e">
        <f>SUMIF(#REF!,"목장용지",#REF!)</f>
        <v>#REF!</v>
      </c>
      <c r="F84" s="31" t="e">
        <f>SUMIF(#REF!,"목장용지",#REF!)</f>
        <v>#REF!</v>
      </c>
      <c r="G84" s="30" t="e">
        <f>SUMIF(#REF!,"목장용지",#REF!)</f>
        <v>#REF!</v>
      </c>
      <c r="H84" s="30" t="e">
        <f>SUMIF(#REF!,"목장용지",#REF!)</f>
        <v>#REF!</v>
      </c>
      <c r="I84" s="8" t="s">
        <v>26</v>
      </c>
      <c r="J84" s="31" t="e">
        <f>SUMIF(#REF!,"목장용지",#REF!)</f>
        <v>#REF!</v>
      </c>
      <c r="K84" s="31" t="e">
        <f>SUMIF(#REF!,"목장용지",#REF!)</f>
        <v>#REF!</v>
      </c>
      <c r="L84" s="30" t="e">
        <f>SUMIF(#REF!,"목장용지",#REF!)</f>
        <v>#REF!</v>
      </c>
      <c r="M84" s="30" t="e">
        <f>SUMIF(#REF!,"목장용지",#REF!)</f>
        <v>#REF!</v>
      </c>
      <c r="N84" s="8" t="s">
        <v>26</v>
      </c>
      <c r="O84" s="31" t="e">
        <f>SUMIF(#REF!,"목장용지",#REF!)</f>
        <v>#REF!</v>
      </c>
      <c r="P84" s="31" t="e">
        <f>SUMIF(#REF!,"목장용지",#REF!)</f>
        <v>#REF!</v>
      </c>
      <c r="Q84" s="21" t="e">
        <f>F84-E84</f>
        <v>#REF!</v>
      </c>
    </row>
    <row r="85" spans="1:17" s="20" customFormat="1" ht="29.1" hidden="1" customHeight="1" x14ac:dyDescent="0.15">
      <c r="A85" s="54" t="s">
        <v>35</v>
      </c>
      <c r="B85" s="30" t="e">
        <f>SUMIF(#REF!,"잡종지",#REF!)</f>
        <v>#REF!</v>
      </c>
      <c r="C85" s="34" t="e">
        <f>SUMIF(#REF!,"잡종지",#REF!)</f>
        <v>#REF!</v>
      </c>
      <c r="D85" s="8" t="s">
        <v>26</v>
      </c>
      <c r="E85" s="31" t="e">
        <f>SUMIF(#REF!,"잡종지",#REF!)</f>
        <v>#REF!</v>
      </c>
      <c r="F85" s="35" t="e">
        <f>SUMIF(#REF!,"잡종지",#REF!)</f>
        <v>#REF!</v>
      </c>
      <c r="G85" s="30" t="e">
        <f>SUMIF(#REF!,"잡종지",#REF!)</f>
        <v>#REF!</v>
      </c>
      <c r="H85" s="30" t="e">
        <f>SUMIF(#REF!,"잡종지",#REF!)</f>
        <v>#REF!</v>
      </c>
      <c r="I85" s="8" t="s">
        <v>26</v>
      </c>
      <c r="J85" s="31" t="e">
        <f>SUMIF(#REF!,"잡종지",#REF!)</f>
        <v>#REF!</v>
      </c>
      <c r="K85" s="31" t="e">
        <f>SUMIF(#REF!,"잡종지",#REF!)</f>
        <v>#REF!</v>
      </c>
      <c r="L85" s="30" t="e">
        <f>SUMIF(#REF!,"잡종지",#REF!)</f>
        <v>#REF!</v>
      </c>
      <c r="M85" s="30" t="e">
        <f>SUMIF(#REF!,"잡종지",#REF!)</f>
        <v>#REF!</v>
      </c>
      <c r="N85" s="8" t="s">
        <v>26</v>
      </c>
      <c r="O85" s="31" t="e">
        <f>SUMIF(#REF!,"잡종지",#REF!)</f>
        <v>#REF!</v>
      </c>
      <c r="P85" s="31" t="e">
        <f>SUMIF(#REF!,"잡종지",#REF!)</f>
        <v>#REF!</v>
      </c>
      <c r="Q85" s="56" t="e">
        <f t="shared" si="3"/>
        <v>#REF!</v>
      </c>
    </row>
    <row r="86" spans="1:17" s="20" customFormat="1" ht="29.1" hidden="1" customHeight="1" x14ac:dyDescent="0.15">
      <c r="A86" s="54" t="s">
        <v>36</v>
      </c>
      <c r="B86" s="30" t="e">
        <f>SUMIF(#REF!,"묘지",#REF!)</f>
        <v>#REF!</v>
      </c>
      <c r="C86" s="34" t="e">
        <f>SUMIF(#REF!,"묘지",#REF!)</f>
        <v>#REF!</v>
      </c>
      <c r="D86" s="8" t="s">
        <v>26</v>
      </c>
      <c r="E86" s="31" t="e">
        <f>SUMIF(#REF!,"묘지",#REF!)</f>
        <v>#REF!</v>
      </c>
      <c r="F86" s="35" t="e">
        <f>SUMIF(#REF!,"묘지",#REF!)</f>
        <v>#REF!</v>
      </c>
      <c r="G86" s="30" t="e">
        <f>SUMIF(#REF!,"묘지",#REF!)</f>
        <v>#REF!</v>
      </c>
      <c r="H86" s="30" t="e">
        <f>SUMIF(#REF!,"묘지",#REF!)</f>
        <v>#REF!</v>
      </c>
      <c r="I86" s="8" t="s">
        <v>26</v>
      </c>
      <c r="J86" s="31" t="e">
        <f>SUMIF(#REF!,"묘지",#REF!)</f>
        <v>#REF!</v>
      </c>
      <c r="K86" s="31" t="e">
        <f>SUMIF(#REF!,"묘지",#REF!)</f>
        <v>#REF!</v>
      </c>
      <c r="L86" s="30" t="e">
        <f>SUMIF(#REF!,"묘지",#REF!)</f>
        <v>#REF!</v>
      </c>
      <c r="M86" s="30" t="e">
        <f>SUMIF(#REF!,"묘지",#REF!)</f>
        <v>#REF!</v>
      </c>
      <c r="N86" s="8" t="s">
        <v>26</v>
      </c>
      <c r="O86" s="31" t="e">
        <f>SUMIF(#REF!,"묘지",#REF!)</f>
        <v>#REF!</v>
      </c>
      <c r="P86" s="31" t="e">
        <f>SUMIF(#REF!,"묘지",#REF!)</f>
        <v>#REF!</v>
      </c>
      <c r="Q86" s="56" t="e">
        <f t="shared" si="3"/>
        <v>#REF!</v>
      </c>
    </row>
    <row r="87" spans="1:17" s="20" customFormat="1" ht="29.1" hidden="1" customHeight="1" x14ac:dyDescent="0.15">
      <c r="A87" s="54" t="s">
        <v>53</v>
      </c>
      <c r="B87" s="30" t="e">
        <f>SUMIF(#REF!,"과수원",#REF!)</f>
        <v>#REF!</v>
      </c>
      <c r="C87" s="34" t="e">
        <f>SUMIF(#REF!,"과수원",#REF!)</f>
        <v>#REF!</v>
      </c>
      <c r="D87" s="8" t="s">
        <v>26</v>
      </c>
      <c r="E87" s="31" t="e">
        <f>SUMIF(#REF!,"과수원",#REF!)</f>
        <v>#REF!</v>
      </c>
      <c r="F87" s="35" t="e">
        <f>SUMIF(#REF!,"과수원",#REF!)</f>
        <v>#REF!</v>
      </c>
      <c r="G87" s="30" t="e">
        <f>SUMIF(#REF!,"과수원",#REF!)</f>
        <v>#REF!</v>
      </c>
      <c r="H87" s="30" t="e">
        <f>SUMIF(#REF!,"과수원",#REF!)</f>
        <v>#REF!</v>
      </c>
      <c r="I87" s="8" t="s">
        <v>26</v>
      </c>
      <c r="J87" s="31" t="e">
        <f>SUMIF(#REF!,"과수원",#REF!)</f>
        <v>#REF!</v>
      </c>
      <c r="K87" s="31" t="e">
        <f>SUMIF(#REF!,"과수원",#REF!)</f>
        <v>#REF!</v>
      </c>
      <c r="L87" s="30" t="e">
        <f>SUMIF(#REF!,"과수원",#REF!)</f>
        <v>#REF!</v>
      </c>
      <c r="M87" s="30" t="e">
        <f>SUMIF(#REF!,"과수원",#REF!)</f>
        <v>#REF!</v>
      </c>
      <c r="N87" s="8" t="s">
        <v>26</v>
      </c>
      <c r="O87" s="31" t="e">
        <f>SUMIF(#REF!,"과수원",#REF!)</f>
        <v>#REF!</v>
      </c>
      <c r="P87" s="31" t="e">
        <f>SUMIF(#REF!,"과수원",#REF!)</f>
        <v>#REF!</v>
      </c>
      <c r="Q87" s="56" t="e">
        <f t="shared" si="3"/>
        <v>#REF!</v>
      </c>
    </row>
    <row r="88" spans="1:17" s="20" customFormat="1" ht="29.1" hidden="1" customHeight="1" x14ac:dyDescent="0.15">
      <c r="A88" s="54" t="s">
        <v>54</v>
      </c>
      <c r="B88" s="30" t="e">
        <f>SUMIF(#REF!,"철도",#REF!)</f>
        <v>#REF!</v>
      </c>
      <c r="C88" s="30" t="e">
        <f>SUMIF(#REF!,"철도",#REF!)</f>
        <v>#REF!</v>
      </c>
      <c r="D88" s="8" t="s">
        <v>26</v>
      </c>
      <c r="E88" s="31" t="e">
        <f>SUMIF(#REF!,"철도",#REF!)</f>
        <v>#REF!</v>
      </c>
      <c r="F88" s="31" t="e">
        <f>SUMIF(#REF!,"철도",#REF!)</f>
        <v>#REF!</v>
      </c>
      <c r="G88" s="30" t="e">
        <f>SUMIF(#REF!,"철도",#REF!)</f>
        <v>#REF!</v>
      </c>
      <c r="H88" s="30" t="e">
        <f>SUMIF(#REF!,"철도",#REF!)</f>
        <v>#REF!</v>
      </c>
      <c r="I88" s="8" t="s">
        <v>26</v>
      </c>
      <c r="J88" s="31" t="e">
        <f>SUMIF(#REF!,"철도",#REF!)</f>
        <v>#REF!</v>
      </c>
      <c r="K88" s="31" t="e">
        <f>SUMIF(#REF!,"철도",#REF!)</f>
        <v>#REF!</v>
      </c>
      <c r="L88" s="30" t="e">
        <f>SUMIF(#REF!,"철도",#REF!)</f>
        <v>#REF!</v>
      </c>
      <c r="M88" s="30" t="e">
        <f>SUMIF(#REF!,"철도",#REF!)</f>
        <v>#REF!</v>
      </c>
      <c r="N88" s="8" t="s">
        <v>26</v>
      </c>
      <c r="O88" s="31" t="e">
        <f>SUMIF(#REF!,"철도",#REF!)</f>
        <v>#REF!</v>
      </c>
      <c r="P88" s="31" t="e">
        <f>SUMIF(#REF!,"철도",#REF!)</f>
        <v>#REF!</v>
      </c>
      <c r="Q88" s="21" t="e">
        <f t="shared" si="3"/>
        <v>#REF!</v>
      </c>
    </row>
    <row r="89" spans="1:17" s="20" customFormat="1" ht="29.1" hidden="1" customHeight="1" x14ac:dyDescent="0.15">
      <c r="A89" s="54" t="s">
        <v>15</v>
      </c>
      <c r="B89" s="30" t="e">
        <f>SUMIF(#REF!,"유지",#REF!)</f>
        <v>#REF!</v>
      </c>
      <c r="C89" s="30" t="e">
        <f>SUMIF(#REF!,"유지",#REF!)</f>
        <v>#REF!</v>
      </c>
      <c r="D89" s="8" t="s">
        <v>26</v>
      </c>
      <c r="E89" s="31" t="e">
        <f>SUMIF(#REF!,"유지",#REF!)</f>
        <v>#REF!</v>
      </c>
      <c r="F89" s="31" t="e">
        <f>SUMIF(#REF!,"유지",#REF!)</f>
        <v>#REF!</v>
      </c>
      <c r="G89" s="30" t="e">
        <f>SUMIF(#REF!,"유지",#REF!)</f>
        <v>#REF!</v>
      </c>
      <c r="H89" s="30" t="e">
        <f>SUMIF(#REF!,"유지",#REF!)</f>
        <v>#REF!</v>
      </c>
      <c r="I89" s="8" t="s">
        <v>26</v>
      </c>
      <c r="J89" s="31" t="e">
        <f>SUMIF(#REF!,"유지",#REF!)</f>
        <v>#REF!</v>
      </c>
      <c r="K89" s="31" t="e">
        <f>SUMIF(#REF!,"유지",#REF!)</f>
        <v>#REF!</v>
      </c>
      <c r="L89" s="30" t="e">
        <f>SUMIF(#REF!,"유지",#REF!)</f>
        <v>#REF!</v>
      </c>
      <c r="M89" s="30" t="e">
        <f>SUMIF(#REF!,"유지",#REF!)</f>
        <v>#REF!</v>
      </c>
      <c r="N89" s="8" t="s">
        <v>26</v>
      </c>
      <c r="O89" s="31" t="e">
        <f>SUMIF(#REF!,"유지",#REF!)</f>
        <v>#REF!</v>
      </c>
      <c r="P89" s="31" t="e">
        <f>SUMIF(#REF!,"유지",#REF!)</f>
        <v>#REF!</v>
      </c>
      <c r="Q89" s="21" t="e">
        <f t="shared" si="3"/>
        <v>#REF!</v>
      </c>
    </row>
    <row r="90" spans="1:17" s="20" customFormat="1" ht="29.1" hidden="1" customHeight="1" x14ac:dyDescent="0.15">
      <c r="A90" s="54" t="s">
        <v>55</v>
      </c>
      <c r="B90" s="30" t="e">
        <f>SUMIF(#REF!,"수도",#REF!)</f>
        <v>#REF!</v>
      </c>
      <c r="C90" s="34" t="e">
        <f>SUMIF(#REF!,"수도",#REF!)</f>
        <v>#REF!</v>
      </c>
      <c r="D90" s="8" t="s">
        <v>26</v>
      </c>
      <c r="E90" s="31" t="e">
        <f>SUMIF(#REF!,"수도",#REF!)</f>
        <v>#REF!</v>
      </c>
      <c r="F90" s="35" t="e">
        <f>SUMIF(#REF!,"수도",#REF!)</f>
        <v>#REF!</v>
      </c>
      <c r="G90" s="30" t="e">
        <f>SUMIF(#REF!,"수도",#REF!)</f>
        <v>#REF!</v>
      </c>
      <c r="H90" s="30" t="e">
        <f>SUMIF(#REF!,"수도",#REF!)</f>
        <v>#REF!</v>
      </c>
      <c r="I90" s="8" t="s">
        <v>26</v>
      </c>
      <c r="J90" s="31" t="e">
        <f>SUMIF(#REF!,"수도",#REF!)</f>
        <v>#REF!</v>
      </c>
      <c r="K90" s="31" t="e">
        <f>SUMIF(#REF!,"수도",#REF!)</f>
        <v>#REF!</v>
      </c>
      <c r="L90" s="30" t="e">
        <f>SUMIF(#REF!,"수도",#REF!)</f>
        <v>#REF!</v>
      </c>
      <c r="M90" s="30" t="e">
        <f>SUMIF(#REF!,"수도",#REF!)</f>
        <v>#REF!</v>
      </c>
      <c r="N90" s="8" t="s">
        <v>26</v>
      </c>
      <c r="O90" s="31" t="e">
        <f>SUMIF(#REF!,"수도",#REF!)</f>
        <v>#REF!</v>
      </c>
      <c r="P90" s="31" t="e">
        <f>SUMIF(#REF!,"수도",#REF!)</f>
        <v>#REF!</v>
      </c>
      <c r="Q90" s="56" t="e">
        <f t="shared" si="3"/>
        <v>#REF!</v>
      </c>
    </row>
    <row r="91" spans="1:17" s="20" customFormat="1" ht="29.1" hidden="1" customHeight="1" x14ac:dyDescent="0.15">
      <c r="A91" s="54" t="s">
        <v>40</v>
      </c>
      <c r="B91" s="30" t="e">
        <f>SUMIF(#REF!,"공장",#REF!)</f>
        <v>#REF!</v>
      </c>
      <c r="C91" s="34" t="e">
        <f>SUMIF(#REF!,"공장",#REF!)</f>
        <v>#REF!</v>
      </c>
      <c r="D91" s="8" t="s">
        <v>26</v>
      </c>
      <c r="E91" s="31" t="e">
        <f>SUMIF(#REF!,"공장",#REF!)</f>
        <v>#REF!</v>
      </c>
      <c r="F91" s="35" t="e">
        <f>SUMIF(#REF!,"공장",#REF!)</f>
        <v>#REF!</v>
      </c>
      <c r="G91" s="30" t="e">
        <f>SUMIF(#REF!,"공장",#REF!)</f>
        <v>#REF!</v>
      </c>
      <c r="H91" s="30" t="e">
        <f>SUMIF(#REF!,"공장",#REF!)</f>
        <v>#REF!</v>
      </c>
      <c r="I91" s="8" t="s">
        <v>26</v>
      </c>
      <c r="J91" s="31" t="e">
        <f>SUMIF(#REF!,"공장",#REF!)</f>
        <v>#REF!</v>
      </c>
      <c r="K91" s="31" t="e">
        <f>SUMIF(#REF!,"공장",#REF!)</f>
        <v>#REF!</v>
      </c>
      <c r="L91" s="30" t="e">
        <f>SUMIF(#REF!,"공장",#REF!)</f>
        <v>#REF!</v>
      </c>
      <c r="M91" s="30" t="e">
        <f>SUMIF(#REF!,"공장",#REF!)</f>
        <v>#REF!</v>
      </c>
      <c r="N91" s="8" t="s">
        <v>26</v>
      </c>
      <c r="O91" s="31" t="e">
        <f>SUMIF(#REF!,"공장",#REF!)</f>
        <v>#REF!</v>
      </c>
      <c r="P91" s="31" t="e">
        <f>SUMIF(#REF!,"공장",#REF!)</f>
        <v>#REF!</v>
      </c>
      <c r="Q91" s="56" t="e">
        <f t="shared" si="3"/>
        <v>#REF!</v>
      </c>
    </row>
    <row r="92" spans="1:17" s="20" customFormat="1" ht="29.1" hidden="1" customHeight="1" x14ac:dyDescent="0.15">
      <c r="A92" s="55" t="s">
        <v>56</v>
      </c>
      <c r="B92" s="32" t="e">
        <f>SUMIF(#REF!,"기타",#REF!)</f>
        <v>#REF!</v>
      </c>
      <c r="C92" s="38" t="e">
        <f>SUMIF(#REF!,"기타",#REF!)</f>
        <v>#REF!</v>
      </c>
      <c r="D92" s="22" t="s">
        <v>26</v>
      </c>
      <c r="E92" s="33" t="e">
        <f>SUMIF(#REF!,"기타",#REF!)</f>
        <v>#REF!</v>
      </c>
      <c r="F92" s="39" t="e">
        <f>SUMIF(#REF!,"기타",#REF!)</f>
        <v>#REF!</v>
      </c>
      <c r="G92" s="32" t="e">
        <f>SUMIF(#REF!,"기타",#REF!)</f>
        <v>#REF!</v>
      </c>
      <c r="H92" s="32" t="e">
        <f>SUMIF(#REF!,"기타",#REF!)</f>
        <v>#REF!</v>
      </c>
      <c r="I92" s="22" t="s">
        <v>26</v>
      </c>
      <c r="J92" s="33" t="e">
        <f>SUMIF(#REF!,"기타",#REF!)</f>
        <v>#REF!</v>
      </c>
      <c r="K92" s="33" t="e">
        <f>SUMIF(#REF!,"기타",#REF!)</f>
        <v>#REF!</v>
      </c>
      <c r="L92" s="32" t="e">
        <f>SUMIF(#REF!,"기타",#REF!)</f>
        <v>#REF!</v>
      </c>
      <c r="M92" s="32" t="e">
        <f>SUMIF(#REF!,"기타",#REF!)</f>
        <v>#REF!</v>
      </c>
      <c r="N92" s="22" t="s">
        <v>26</v>
      </c>
      <c r="O92" s="33" t="e">
        <f>SUMIF(#REF!,"기타",#REF!)</f>
        <v>#REF!</v>
      </c>
      <c r="P92" s="33" t="e">
        <f>SUMIF(#REF!,"기타",#REF!)</f>
        <v>#REF!</v>
      </c>
      <c r="Q92" s="56" t="e">
        <f t="shared" si="3"/>
        <v>#REF!</v>
      </c>
    </row>
    <row r="93" spans="1:17" ht="24.95" hidden="1" customHeight="1" x14ac:dyDescent="0.15">
      <c r="A93" s="40" t="s">
        <v>65</v>
      </c>
      <c r="B93" s="1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s="20" customFormat="1" ht="20.100000000000001" hidden="1" customHeight="1" x14ac:dyDescent="0.15">
      <c r="A94" s="52"/>
      <c r="B94" s="5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53" t="s">
        <v>100</v>
      </c>
    </row>
    <row r="95" spans="1:17" s="20" customFormat="1" ht="29.1" hidden="1" customHeight="1" x14ac:dyDescent="0.15">
      <c r="A95" s="1064" t="s">
        <v>23</v>
      </c>
      <c r="B95" s="25" t="s">
        <v>24</v>
      </c>
      <c r="C95" s="25"/>
      <c r="D95" s="25"/>
      <c r="E95" s="25"/>
      <c r="F95" s="47"/>
      <c r="G95" s="25" t="s">
        <v>57</v>
      </c>
      <c r="H95" s="25"/>
      <c r="I95" s="25"/>
      <c r="J95" s="25"/>
      <c r="K95" s="47"/>
      <c r="L95" s="25" t="s">
        <v>41</v>
      </c>
      <c r="M95" s="25"/>
      <c r="N95" s="25"/>
      <c r="O95" s="25"/>
      <c r="P95" s="25"/>
      <c r="Q95" s="1067" t="s">
        <v>66</v>
      </c>
    </row>
    <row r="96" spans="1:17" s="20" customFormat="1" ht="29.1" hidden="1" customHeight="1" x14ac:dyDescent="0.15">
      <c r="A96" s="1065"/>
      <c r="B96" s="1070" t="s">
        <v>63</v>
      </c>
      <c r="C96" s="1071"/>
      <c r="D96" s="36" t="s">
        <v>26</v>
      </c>
      <c r="E96" s="1071" t="s">
        <v>43</v>
      </c>
      <c r="F96" s="1072"/>
      <c r="G96" s="1070" t="s">
        <v>63</v>
      </c>
      <c r="H96" s="1071"/>
      <c r="I96" s="36" t="s">
        <v>26</v>
      </c>
      <c r="J96" s="1071" t="s">
        <v>43</v>
      </c>
      <c r="K96" s="1072"/>
      <c r="L96" s="1070" t="s">
        <v>63</v>
      </c>
      <c r="M96" s="1072"/>
      <c r="N96" s="36" t="s">
        <v>26</v>
      </c>
      <c r="O96" s="1071" t="s">
        <v>43</v>
      </c>
      <c r="P96" s="1072"/>
      <c r="Q96" s="1068"/>
    </row>
    <row r="97" spans="1:17" s="20" customFormat="1" ht="29.1" hidden="1" customHeight="1" x14ac:dyDescent="0.15">
      <c r="A97" s="1066"/>
      <c r="B97" s="46" t="s">
        <v>61</v>
      </c>
      <c r="C97" s="46" t="s">
        <v>62</v>
      </c>
      <c r="D97" s="44" t="s">
        <v>26</v>
      </c>
      <c r="E97" s="44" t="s">
        <v>61</v>
      </c>
      <c r="F97" s="46" t="s">
        <v>62</v>
      </c>
      <c r="G97" s="46" t="s">
        <v>61</v>
      </c>
      <c r="H97" s="46" t="s">
        <v>62</v>
      </c>
      <c r="I97" s="44" t="s">
        <v>26</v>
      </c>
      <c r="J97" s="44" t="s">
        <v>61</v>
      </c>
      <c r="K97" s="46" t="s">
        <v>62</v>
      </c>
      <c r="L97" s="46" t="s">
        <v>61</v>
      </c>
      <c r="M97" s="46" t="s">
        <v>62</v>
      </c>
      <c r="N97" s="44" t="s">
        <v>26</v>
      </c>
      <c r="O97" s="44" t="s">
        <v>61</v>
      </c>
      <c r="P97" s="46" t="s">
        <v>62</v>
      </c>
      <c r="Q97" s="1069"/>
    </row>
    <row r="98" spans="1:17" s="20" customFormat="1" ht="29.1" hidden="1" customHeight="1" x14ac:dyDescent="0.15">
      <c r="A98" s="85" t="s">
        <v>24</v>
      </c>
      <c r="B98" s="27" t="e">
        <f>SUMIF(#REF!,"계",#REF!)</f>
        <v>#REF!</v>
      </c>
      <c r="C98" s="27" t="e">
        <f>SUMIF(#REF!,"계",#REF!)</f>
        <v>#REF!</v>
      </c>
      <c r="D98" s="28" t="s">
        <v>26</v>
      </c>
      <c r="E98" s="29" t="e">
        <f>SUMIF(#REF!,"계",#REF!)</f>
        <v>#REF!</v>
      </c>
      <c r="F98" s="29" t="e">
        <f>SUMIF(#REF!,"계",#REF!)</f>
        <v>#REF!</v>
      </c>
      <c r="G98" s="27" t="e">
        <f>SUMIF(#REF!,"계",#REF!)</f>
        <v>#REF!</v>
      </c>
      <c r="H98" s="27" t="e">
        <f>SUMIF(#REF!,"계",#REF!)</f>
        <v>#REF!</v>
      </c>
      <c r="I98" s="28" t="s">
        <v>26</v>
      </c>
      <c r="J98" s="29" t="e">
        <f>SUMIF(#REF!,"계",#REF!)</f>
        <v>#REF!</v>
      </c>
      <c r="K98" s="29" t="e">
        <f>SUMIF(#REF!,"계",#REF!)</f>
        <v>#REF!</v>
      </c>
      <c r="L98" s="27" t="e">
        <f>SUMIF(#REF!,"계",#REF!)</f>
        <v>#REF!</v>
      </c>
      <c r="M98" s="27" t="e">
        <f>SUMIF(#REF!,"계",#REF!)</f>
        <v>#REF!</v>
      </c>
      <c r="N98" s="28" t="s">
        <v>26</v>
      </c>
      <c r="O98" s="29" t="e">
        <f>SUMIF(#REF!,"계",#REF!)</f>
        <v>#REF!</v>
      </c>
      <c r="P98" s="29" t="e">
        <f>SUMIF(#REF!,"계",#REF!)</f>
        <v>#REF!</v>
      </c>
      <c r="Q98" s="26" t="e">
        <f>F98-E98</f>
        <v>#REF!</v>
      </c>
    </row>
    <row r="99" spans="1:17" s="20" customFormat="1" ht="29.1" hidden="1" customHeight="1" x14ac:dyDescent="0.15">
      <c r="A99" s="54" t="s">
        <v>27</v>
      </c>
      <c r="B99" s="30" t="e">
        <f>SUMIF(#REF!,"전",#REF!)</f>
        <v>#REF!</v>
      </c>
      <c r="C99" s="30" t="e">
        <f>SUMIF(#REF!,"전",#REF!)</f>
        <v>#REF!</v>
      </c>
      <c r="D99" s="8" t="s">
        <v>26</v>
      </c>
      <c r="E99" s="31" t="e">
        <f>SUMIF(#REF!,"전",#REF!)</f>
        <v>#REF!</v>
      </c>
      <c r="F99" s="31" t="e">
        <f>SUMIF(#REF!,"전",#REF!)</f>
        <v>#REF!</v>
      </c>
      <c r="G99" s="30" t="e">
        <f>SUMIF(#REF!,"전",#REF!)</f>
        <v>#REF!</v>
      </c>
      <c r="H99" s="30" t="e">
        <f>SUMIF(#REF!,"전",#REF!)</f>
        <v>#REF!</v>
      </c>
      <c r="I99" s="8" t="s">
        <v>26</v>
      </c>
      <c r="J99" s="31" t="e">
        <f>SUMIF(#REF!,"전",#REF!)</f>
        <v>#REF!</v>
      </c>
      <c r="K99" s="31" t="e">
        <f>SUMIF(#REF!,"전",#REF!)</f>
        <v>#REF!</v>
      </c>
      <c r="L99" s="30" t="e">
        <f>SUMIF(#REF!,"전",#REF!)</f>
        <v>#REF!</v>
      </c>
      <c r="M99" s="30" t="e">
        <f>SUMIF(#REF!,"전",#REF!)</f>
        <v>#REF!</v>
      </c>
      <c r="N99" s="8" t="s">
        <v>26</v>
      </c>
      <c r="O99" s="31" t="e">
        <f>SUMIF(#REF!,"전",#REF!)</f>
        <v>#REF!</v>
      </c>
      <c r="P99" s="31" t="e">
        <f>SUMIF(#REF!,"전",#REF!)</f>
        <v>#REF!</v>
      </c>
      <c r="Q99" s="21" t="e">
        <f t="shared" ref="Q99:Q115" si="4">F99-E99</f>
        <v>#REF!</v>
      </c>
    </row>
    <row r="100" spans="1:17" s="20" customFormat="1" ht="29.1" hidden="1" customHeight="1" x14ac:dyDescent="0.15">
      <c r="A100" s="54" t="s">
        <v>28</v>
      </c>
      <c r="B100" s="30" t="e">
        <f>SUMIF(#REF!,"답",#REF!)</f>
        <v>#REF!</v>
      </c>
      <c r="C100" s="30" t="e">
        <f>SUMIF(#REF!,"답",#REF!)</f>
        <v>#REF!</v>
      </c>
      <c r="D100" s="8" t="s">
        <v>26</v>
      </c>
      <c r="E100" s="31" t="e">
        <f>SUMIF(#REF!,"답",#REF!)</f>
        <v>#REF!</v>
      </c>
      <c r="F100" s="31" t="e">
        <f>SUMIF(#REF!,"답",#REF!)</f>
        <v>#REF!</v>
      </c>
      <c r="G100" s="30" t="e">
        <f>SUMIF(#REF!,"답",#REF!)</f>
        <v>#REF!</v>
      </c>
      <c r="H100" s="30" t="e">
        <f>SUMIF(#REF!,"답",#REF!)</f>
        <v>#REF!</v>
      </c>
      <c r="I100" s="8" t="s">
        <v>26</v>
      </c>
      <c r="J100" s="31" t="e">
        <f>SUMIF(#REF!,"답",#REF!)</f>
        <v>#REF!</v>
      </c>
      <c r="K100" s="31" t="e">
        <f>SUMIF(#REF!,"답",#REF!)</f>
        <v>#REF!</v>
      </c>
      <c r="L100" s="30" t="e">
        <f>SUMIF(#REF!,"답",#REF!)</f>
        <v>#REF!</v>
      </c>
      <c r="M100" s="30" t="e">
        <f>SUMIF(#REF!,"답",#REF!)</f>
        <v>#REF!</v>
      </c>
      <c r="N100" s="8" t="s">
        <v>26</v>
      </c>
      <c r="O100" s="31" t="e">
        <f>SUMIF(#REF!,"답",#REF!)</f>
        <v>#REF!</v>
      </c>
      <c r="P100" s="31" t="e">
        <f>SUMIF(#REF!,"답",#REF!)</f>
        <v>#REF!</v>
      </c>
      <c r="Q100" s="21" t="e">
        <f t="shared" si="4"/>
        <v>#REF!</v>
      </c>
    </row>
    <row r="101" spans="1:17" s="20" customFormat="1" ht="29.1" hidden="1" customHeight="1" x14ac:dyDescent="0.15">
      <c r="A101" s="54" t="s">
        <v>29</v>
      </c>
      <c r="B101" s="30" t="e">
        <f>SUMIF(#REF!,"대지",#REF!)</f>
        <v>#REF!</v>
      </c>
      <c r="C101" s="30" t="e">
        <f>SUMIF(#REF!,"대지",#REF!)</f>
        <v>#REF!</v>
      </c>
      <c r="D101" s="8" t="s">
        <v>26</v>
      </c>
      <c r="E101" s="31" t="e">
        <f>SUMIF(#REF!,"대지",#REF!)</f>
        <v>#REF!</v>
      </c>
      <c r="F101" s="31" t="e">
        <f>SUMIF(#REF!,"대지",#REF!)</f>
        <v>#REF!</v>
      </c>
      <c r="G101" s="30" t="e">
        <f>SUMIF(#REF!,"대지",#REF!)</f>
        <v>#REF!</v>
      </c>
      <c r="H101" s="30" t="e">
        <f>SUMIF(#REF!,"대지",#REF!)</f>
        <v>#REF!</v>
      </c>
      <c r="I101" s="8" t="s">
        <v>26</v>
      </c>
      <c r="J101" s="31" t="e">
        <f>SUMIF(#REF!,"대지",#REF!)</f>
        <v>#REF!</v>
      </c>
      <c r="K101" s="31" t="e">
        <f>SUMIF(#REF!,"대지",#REF!)</f>
        <v>#REF!</v>
      </c>
      <c r="L101" s="30" t="e">
        <f>SUMIF(#REF!,"대지",#REF!)</f>
        <v>#REF!</v>
      </c>
      <c r="M101" s="30" t="e">
        <f>SUMIF(#REF!,"대지",#REF!)</f>
        <v>#REF!</v>
      </c>
      <c r="N101" s="8" t="s">
        <v>26</v>
      </c>
      <c r="O101" s="31" t="e">
        <f>SUMIF(#REF!,"대지",#REF!)</f>
        <v>#REF!</v>
      </c>
      <c r="P101" s="31" t="e">
        <f>SUMIF(#REF!,"대지",#REF!)</f>
        <v>#REF!</v>
      </c>
      <c r="Q101" s="21" t="e">
        <f t="shared" si="4"/>
        <v>#REF!</v>
      </c>
    </row>
    <row r="102" spans="1:17" s="20" customFormat="1" ht="29.1" hidden="1" customHeight="1" x14ac:dyDescent="0.15">
      <c r="A102" s="54" t="s">
        <v>30</v>
      </c>
      <c r="B102" s="30" t="e">
        <f>SUMIF(#REF!,"임야",#REF!)</f>
        <v>#REF!</v>
      </c>
      <c r="C102" s="30" t="e">
        <f>SUMIF(#REF!,"임야",#REF!)</f>
        <v>#REF!</v>
      </c>
      <c r="D102" s="8" t="s">
        <v>26</v>
      </c>
      <c r="E102" s="31" t="e">
        <f>SUMIF(#REF!,"임야",#REF!)</f>
        <v>#REF!</v>
      </c>
      <c r="F102" s="31" t="e">
        <f>SUMIF(#REF!,"임야",#REF!)</f>
        <v>#REF!</v>
      </c>
      <c r="G102" s="30" t="e">
        <f>SUMIF(#REF!,"임야",#REF!)</f>
        <v>#REF!</v>
      </c>
      <c r="H102" s="30" t="e">
        <f>SUMIF(#REF!,"임야",#REF!)</f>
        <v>#REF!</v>
      </c>
      <c r="I102" s="8" t="s">
        <v>26</v>
      </c>
      <c r="J102" s="31" t="e">
        <f>SUMIF(#REF!,"임야",#REF!)</f>
        <v>#REF!</v>
      </c>
      <c r="K102" s="31" t="e">
        <f>SUMIF(#REF!,"임야",#REF!)</f>
        <v>#REF!</v>
      </c>
      <c r="L102" s="30" t="e">
        <f>SUMIF(#REF!,"임야",#REF!)</f>
        <v>#REF!</v>
      </c>
      <c r="M102" s="30" t="e">
        <f>SUMIF(#REF!,"임야",#REF!)</f>
        <v>#REF!</v>
      </c>
      <c r="N102" s="8" t="s">
        <v>26</v>
      </c>
      <c r="O102" s="31" t="e">
        <f>SUMIF(#REF!,"임야",#REF!)</f>
        <v>#REF!</v>
      </c>
      <c r="P102" s="31" t="e">
        <f>SUMIF(#REF!,"임야",#REF!)</f>
        <v>#REF!</v>
      </c>
      <c r="Q102" s="21" t="e">
        <f t="shared" si="4"/>
        <v>#REF!</v>
      </c>
    </row>
    <row r="103" spans="1:17" s="20" customFormat="1" ht="29.1" hidden="1" customHeight="1" x14ac:dyDescent="0.15">
      <c r="A103" s="54" t="s">
        <v>31</v>
      </c>
      <c r="B103" s="30" t="e">
        <f>SUMIF(#REF!,"도로",#REF!)</f>
        <v>#REF!</v>
      </c>
      <c r="C103" s="30" t="e">
        <f>SUMIF(#REF!,"도로",#REF!)</f>
        <v>#REF!</v>
      </c>
      <c r="D103" s="8" t="s">
        <v>26</v>
      </c>
      <c r="E103" s="31" t="e">
        <f>SUMIF(#REF!,"도로",#REF!)</f>
        <v>#REF!</v>
      </c>
      <c r="F103" s="31" t="e">
        <f>SUMIF(#REF!,"도로",#REF!)</f>
        <v>#REF!</v>
      </c>
      <c r="G103" s="30" t="e">
        <f>SUMIF(#REF!,"도로",#REF!)</f>
        <v>#REF!</v>
      </c>
      <c r="H103" s="30" t="e">
        <f>SUMIF(#REF!,"도로",#REF!)</f>
        <v>#REF!</v>
      </c>
      <c r="I103" s="8" t="s">
        <v>26</v>
      </c>
      <c r="J103" s="31" t="e">
        <f>SUMIF(#REF!,"도로",#REF!)</f>
        <v>#REF!</v>
      </c>
      <c r="K103" s="31" t="e">
        <f>SUMIF(#REF!,"도로",#REF!)</f>
        <v>#REF!</v>
      </c>
      <c r="L103" s="30" t="e">
        <f>SUMIF(#REF!,"도로",#REF!)</f>
        <v>#REF!</v>
      </c>
      <c r="M103" s="30" t="e">
        <f>SUMIF(#REF!,"도로",#REF!)</f>
        <v>#REF!</v>
      </c>
      <c r="N103" s="8" t="s">
        <v>26</v>
      </c>
      <c r="O103" s="31" t="e">
        <f>SUMIF(#REF!,"도로",#REF!)</f>
        <v>#REF!</v>
      </c>
      <c r="P103" s="31" t="e">
        <f>SUMIF(#REF!,"도로",#REF!)</f>
        <v>#REF!</v>
      </c>
      <c r="Q103" s="21" t="e">
        <f t="shared" si="4"/>
        <v>#REF!</v>
      </c>
    </row>
    <row r="104" spans="1:17" s="20" customFormat="1" ht="29.1" hidden="1" customHeight="1" x14ac:dyDescent="0.15">
      <c r="A104" s="54" t="s">
        <v>32</v>
      </c>
      <c r="B104" s="30" t="e">
        <f>SUMIF(#REF!,"하천",#REF!)</f>
        <v>#REF!</v>
      </c>
      <c r="C104" s="30" t="e">
        <f>SUMIF(#REF!,"하천",#REF!)</f>
        <v>#REF!</v>
      </c>
      <c r="D104" s="8" t="s">
        <v>26</v>
      </c>
      <c r="E104" s="31" t="e">
        <f>SUMIF(#REF!,"하천",#REF!)</f>
        <v>#REF!</v>
      </c>
      <c r="F104" s="31" t="e">
        <f>SUMIF(#REF!,"하천",#REF!)</f>
        <v>#REF!</v>
      </c>
      <c r="G104" s="30" t="e">
        <f>SUMIF(#REF!,"하천",#REF!)</f>
        <v>#REF!</v>
      </c>
      <c r="H104" s="30" t="e">
        <f>SUMIF(#REF!,"하천",#REF!)</f>
        <v>#REF!</v>
      </c>
      <c r="I104" s="8" t="s">
        <v>26</v>
      </c>
      <c r="J104" s="31" t="e">
        <f>SUMIF(#REF!,"하천",#REF!)</f>
        <v>#REF!</v>
      </c>
      <c r="K104" s="31" t="e">
        <f>SUMIF(#REF!,"하천",#REF!)</f>
        <v>#REF!</v>
      </c>
      <c r="L104" s="30" t="e">
        <f>SUMIF(#REF!,"하천",#REF!)</f>
        <v>#REF!</v>
      </c>
      <c r="M104" s="30" t="e">
        <f>SUMIF(#REF!,"하천",#REF!)</f>
        <v>#REF!</v>
      </c>
      <c r="N104" s="8" t="s">
        <v>26</v>
      </c>
      <c r="O104" s="31" t="e">
        <f>SUMIF(#REF!,"하천",#REF!)</f>
        <v>#REF!</v>
      </c>
      <c r="P104" s="31" t="e">
        <f>SUMIF(#REF!,"하천",#REF!)</f>
        <v>#REF!</v>
      </c>
      <c r="Q104" s="21" t="e">
        <f t="shared" si="4"/>
        <v>#REF!</v>
      </c>
    </row>
    <row r="105" spans="1:17" s="20" customFormat="1" ht="29.1" hidden="1" customHeight="1" x14ac:dyDescent="0.15">
      <c r="A105" s="54" t="s">
        <v>33</v>
      </c>
      <c r="B105" s="30" t="e">
        <f>SUMIF(#REF!,"구거",#REF!)</f>
        <v>#REF!</v>
      </c>
      <c r="C105" s="30" t="e">
        <f>SUMIF(#REF!,"구거",#REF!)</f>
        <v>#REF!</v>
      </c>
      <c r="D105" s="8" t="s">
        <v>26</v>
      </c>
      <c r="E105" s="31" t="e">
        <f>SUMIF(#REF!,"구거",#REF!)</f>
        <v>#REF!</v>
      </c>
      <c r="F105" s="31" t="e">
        <f>SUMIF(#REF!,"구거",#REF!)</f>
        <v>#REF!</v>
      </c>
      <c r="G105" s="30" t="e">
        <f>SUMIF(#REF!,"구거",#REF!)</f>
        <v>#REF!</v>
      </c>
      <c r="H105" s="30" t="e">
        <f>SUMIF(#REF!,"구거",#REF!)</f>
        <v>#REF!</v>
      </c>
      <c r="I105" s="8" t="s">
        <v>26</v>
      </c>
      <c r="J105" s="31" t="e">
        <f>SUMIF(#REF!,"구거",#REF!)</f>
        <v>#REF!</v>
      </c>
      <c r="K105" s="31" t="e">
        <f>SUMIF(#REF!,"구거",#REF!)</f>
        <v>#REF!</v>
      </c>
      <c r="L105" s="30" t="e">
        <f>SUMIF(#REF!,"구거",#REF!)</f>
        <v>#REF!</v>
      </c>
      <c r="M105" s="30" t="e">
        <f>SUMIF(#REF!,"구거",#REF!)</f>
        <v>#REF!</v>
      </c>
      <c r="N105" s="8" t="s">
        <v>26</v>
      </c>
      <c r="O105" s="31" t="e">
        <f>SUMIF(#REF!,"구거",#REF!)</f>
        <v>#REF!</v>
      </c>
      <c r="P105" s="31" t="e">
        <f>SUMIF(#REF!,"구거",#REF!)</f>
        <v>#REF!</v>
      </c>
      <c r="Q105" s="21" t="e">
        <f t="shared" si="4"/>
        <v>#REF!</v>
      </c>
    </row>
    <row r="106" spans="1:17" s="20" customFormat="1" ht="29.1" hidden="1" customHeight="1" x14ac:dyDescent="0.15">
      <c r="A106" s="54" t="s">
        <v>34</v>
      </c>
      <c r="B106" s="30" t="e">
        <f>SUMIF(#REF!,"제방",#REF!)</f>
        <v>#REF!</v>
      </c>
      <c r="C106" s="30" t="e">
        <f>SUMIF(#REF!,"제방",#REF!)</f>
        <v>#REF!</v>
      </c>
      <c r="D106" s="8" t="s">
        <v>26</v>
      </c>
      <c r="E106" s="31" t="e">
        <f>SUMIF(#REF!,"제방",#REF!)</f>
        <v>#REF!</v>
      </c>
      <c r="F106" s="31" t="e">
        <f>SUMIF(#REF!,"제방",#REF!)</f>
        <v>#REF!</v>
      </c>
      <c r="G106" s="30" t="e">
        <f>SUMIF(#REF!,"제방",#REF!)</f>
        <v>#REF!</v>
      </c>
      <c r="H106" s="30" t="e">
        <f>SUMIF(#REF!,"제방",#REF!)</f>
        <v>#REF!</v>
      </c>
      <c r="I106" s="8" t="s">
        <v>26</v>
      </c>
      <c r="J106" s="31" t="e">
        <f>SUMIF(#REF!,"제방",#REF!)</f>
        <v>#REF!</v>
      </c>
      <c r="K106" s="31" t="e">
        <f>SUMIF(#REF!,"제방",#REF!)</f>
        <v>#REF!</v>
      </c>
      <c r="L106" s="30" t="e">
        <f>SUMIF(#REF!,"제방",#REF!)</f>
        <v>#REF!</v>
      </c>
      <c r="M106" s="30" t="e">
        <f>SUMIF(#REF!,"제방",#REF!)</f>
        <v>#REF!</v>
      </c>
      <c r="N106" s="8" t="s">
        <v>26</v>
      </c>
      <c r="O106" s="31" t="e">
        <f>SUMIF(#REF!,"제방",#REF!)</f>
        <v>#REF!</v>
      </c>
      <c r="P106" s="31" t="e">
        <f>SUMIF(#REF!,"제방",#REF!)</f>
        <v>#REF!</v>
      </c>
      <c r="Q106" s="21" t="e">
        <f t="shared" si="4"/>
        <v>#REF!</v>
      </c>
    </row>
    <row r="107" spans="1:17" s="20" customFormat="1" ht="29.1" hidden="1" customHeight="1" x14ac:dyDescent="0.15">
      <c r="A107" s="54" t="s">
        <v>14</v>
      </c>
      <c r="B107" s="30" t="e">
        <f>SUMIF(#REF!,"목장용지",#REF!)</f>
        <v>#REF!</v>
      </c>
      <c r="C107" s="30" t="e">
        <f>SUMIF(#REF!,"목장용지",#REF!)</f>
        <v>#REF!</v>
      </c>
      <c r="D107" s="8" t="s">
        <v>26</v>
      </c>
      <c r="E107" s="31" t="e">
        <f>SUMIF(#REF!,"목장용지",#REF!)</f>
        <v>#REF!</v>
      </c>
      <c r="F107" s="31" t="e">
        <f>SUMIF(#REF!,"목장용지",#REF!)</f>
        <v>#REF!</v>
      </c>
      <c r="G107" s="30" t="e">
        <f>SUMIF(#REF!,"목장용지",#REF!)</f>
        <v>#REF!</v>
      </c>
      <c r="H107" s="30" t="e">
        <f>SUMIF(#REF!,"목장용지",#REF!)</f>
        <v>#REF!</v>
      </c>
      <c r="I107" s="8" t="s">
        <v>26</v>
      </c>
      <c r="J107" s="31" t="e">
        <f>SUMIF(#REF!,"목장용지",#REF!)</f>
        <v>#REF!</v>
      </c>
      <c r="K107" s="31" t="e">
        <f>SUMIF(#REF!,"목장용지",#REF!)</f>
        <v>#REF!</v>
      </c>
      <c r="L107" s="30" t="e">
        <f>SUMIF(#REF!,"목장용지",#REF!)</f>
        <v>#REF!</v>
      </c>
      <c r="M107" s="30" t="e">
        <f>SUMIF(#REF!,"목장용지",#REF!)</f>
        <v>#REF!</v>
      </c>
      <c r="N107" s="8" t="s">
        <v>26</v>
      </c>
      <c r="O107" s="31" t="e">
        <f>SUMIF(#REF!,"목장용지",#REF!)</f>
        <v>#REF!</v>
      </c>
      <c r="P107" s="31" t="e">
        <f>SUMIF(#REF!,"목장용지",#REF!)</f>
        <v>#REF!</v>
      </c>
      <c r="Q107" s="21" t="e">
        <f>F107-E107</f>
        <v>#REF!</v>
      </c>
    </row>
    <row r="108" spans="1:17" s="20" customFormat="1" ht="29.1" hidden="1" customHeight="1" x14ac:dyDescent="0.15">
      <c r="A108" s="54" t="s">
        <v>35</v>
      </c>
      <c r="B108" s="30" t="e">
        <f>SUMIF(#REF!,"잡종지",#REF!)</f>
        <v>#REF!</v>
      </c>
      <c r="C108" s="34" t="e">
        <f>SUMIF(#REF!,"잡종지",#REF!)</f>
        <v>#REF!</v>
      </c>
      <c r="D108" s="8" t="s">
        <v>26</v>
      </c>
      <c r="E108" s="31" t="e">
        <f>SUMIF(#REF!,"잡종지",#REF!)</f>
        <v>#REF!</v>
      </c>
      <c r="F108" s="35" t="e">
        <f>SUMIF(#REF!,"잡종지",#REF!)</f>
        <v>#REF!</v>
      </c>
      <c r="G108" s="30" t="e">
        <f>SUMIF(#REF!,"잡종지",#REF!)</f>
        <v>#REF!</v>
      </c>
      <c r="H108" s="30" t="e">
        <f>SUMIF(#REF!,"잡종지",#REF!)</f>
        <v>#REF!</v>
      </c>
      <c r="I108" s="8" t="s">
        <v>26</v>
      </c>
      <c r="J108" s="31" t="e">
        <f>SUMIF(#REF!,"잡종지",#REF!)</f>
        <v>#REF!</v>
      </c>
      <c r="K108" s="31" t="e">
        <f>SUMIF(#REF!,"잡종지",#REF!)</f>
        <v>#REF!</v>
      </c>
      <c r="L108" s="30" t="e">
        <f>SUMIF(#REF!,"잡종지",#REF!)</f>
        <v>#REF!</v>
      </c>
      <c r="M108" s="30" t="e">
        <f>SUMIF(#REF!,"잡종지",#REF!)</f>
        <v>#REF!</v>
      </c>
      <c r="N108" s="8" t="s">
        <v>26</v>
      </c>
      <c r="O108" s="31" t="e">
        <f>SUMIF(#REF!,"잡종지",#REF!)</f>
        <v>#REF!</v>
      </c>
      <c r="P108" s="31" t="e">
        <f>SUMIF(#REF!,"잡종지",#REF!)</f>
        <v>#REF!</v>
      </c>
      <c r="Q108" s="56" t="e">
        <f t="shared" si="4"/>
        <v>#REF!</v>
      </c>
    </row>
    <row r="109" spans="1:17" s="20" customFormat="1" ht="29.1" hidden="1" customHeight="1" x14ac:dyDescent="0.15">
      <c r="A109" s="54" t="s">
        <v>36</v>
      </c>
      <c r="B109" s="30" t="e">
        <f>SUMIF(#REF!,"묘지",#REF!)</f>
        <v>#REF!</v>
      </c>
      <c r="C109" s="34" t="e">
        <f>SUMIF(#REF!,"묘지",#REF!)</f>
        <v>#REF!</v>
      </c>
      <c r="D109" s="8" t="s">
        <v>26</v>
      </c>
      <c r="E109" s="31" t="e">
        <f>SUMIF(#REF!,"묘지",#REF!)</f>
        <v>#REF!</v>
      </c>
      <c r="F109" s="35" t="e">
        <f>SUMIF(#REF!,"묘지",#REF!)</f>
        <v>#REF!</v>
      </c>
      <c r="G109" s="30" t="e">
        <f>SUMIF(#REF!,"묘지",#REF!)</f>
        <v>#REF!</v>
      </c>
      <c r="H109" s="30" t="e">
        <f>SUMIF(#REF!,"묘지",#REF!)</f>
        <v>#REF!</v>
      </c>
      <c r="I109" s="8" t="s">
        <v>26</v>
      </c>
      <c r="J109" s="31" t="e">
        <f>SUMIF(#REF!,"묘지",#REF!)</f>
        <v>#REF!</v>
      </c>
      <c r="K109" s="31" t="e">
        <f>SUMIF(#REF!,"묘지",#REF!)</f>
        <v>#REF!</v>
      </c>
      <c r="L109" s="30" t="e">
        <f>SUMIF(#REF!,"묘지",#REF!)</f>
        <v>#REF!</v>
      </c>
      <c r="M109" s="30" t="e">
        <f>SUMIF(#REF!,"묘지",#REF!)</f>
        <v>#REF!</v>
      </c>
      <c r="N109" s="8" t="s">
        <v>26</v>
      </c>
      <c r="O109" s="31" t="e">
        <f>SUMIF(#REF!,"묘지",#REF!)</f>
        <v>#REF!</v>
      </c>
      <c r="P109" s="31" t="e">
        <f>SUMIF(#REF!,"묘지",#REF!)</f>
        <v>#REF!</v>
      </c>
      <c r="Q109" s="56" t="e">
        <f t="shared" si="4"/>
        <v>#REF!</v>
      </c>
    </row>
    <row r="110" spans="1:17" s="20" customFormat="1" ht="29.1" hidden="1" customHeight="1" x14ac:dyDescent="0.15">
      <c r="A110" s="54" t="s">
        <v>53</v>
      </c>
      <c r="B110" s="30" t="e">
        <f>SUMIF(#REF!,"과수원",#REF!)</f>
        <v>#REF!</v>
      </c>
      <c r="C110" s="34" t="e">
        <f>SUMIF(#REF!,"과수원",#REF!)</f>
        <v>#REF!</v>
      </c>
      <c r="D110" s="8" t="s">
        <v>26</v>
      </c>
      <c r="E110" s="31" t="e">
        <f>SUMIF(#REF!,"과수원",#REF!)</f>
        <v>#REF!</v>
      </c>
      <c r="F110" s="35" t="e">
        <f>SUMIF(#REF!,"과수원",#REF!)</f>
        <v>#REF!</v>
      </c>
      <c r="G110" s="30" t="e">
        <f>SUMIF(#REF!,"과수원",#REF!)</f>
        <v>#REF!</v>
      </c>
      <c r="H110" s="30" t="e">
        <f>SUMIF(#REF!,"과수원",#REF!)</f>
        <v>#REF!</v>
      </c>
      <c r="I110" s="8" t="s">
        <v>26</v>
      </c>
      <c r="J110" s="31" t="e">
        <f>SUMIF(#REF!,"과수원",#REF!)</f>
        <v>#REF!</v>
      </c>
      <c r="K110" s="31" t="e">
        <f>SUMIF(#REF!,"과수원",#REF!)</f>
        <v>#REF!</v>
      </c>
      <c r="L110" s="30" t="e">
        <f>SUMIF(#REF!,"과수원",#REF!)</f>
        <v>#REF!</v>
      </c>
      <c r="M110" s="30" t="e">
        <f>SUMIF(#REF!,"과수원",#REF!)</f>
        <v>#REF!</v>
      </c>
      <c r="N110" s="8" t="s">
        <v>26</v>
      </c>
      <c r="O110" s="31" t="e">
        <f>SUMIF(#REF!,"과수원",#REF!)</f>
        <v>#REF!</v>
      </c>
      <c r="P110" s="31" t="e">
        <f>SUMIF(#REF!,"과수원",#REF!)</f>
        <v>#REF!</v>
      </c>
      <c r="Q110" s="56" t="e">
        <f t="shared" si="4"/>
        <v>#REF!</v>
      </c>
    </row>
    <row r="111" spans="1:17" s="20" customFormat="1" ht="29.1" hidden="1" customHeight="1" x14ac:dyDescent="0.15">
      <c r="A111" s="54" t="s">
        <v>54</v>
      </c>
      <c r="B111" s="30" t="e">
        <f>SUMIF(#REF!,"철도",#REF!)</f>
        <v>#REF!</v>
      </c>
      <c r="C111" s="34" t="e">
        <f>SUMIF(#REF!,"철도",#REF!)</f>
        <v>#REF!</v>
      </c>
      <c r="D111" s="8" t="s">
        <v>26</v>
      </c>
      <c r="E111" s="31" t="e">
        <f>SUMIF(#REF!,"철도",#REF!)</f>
        <v>#REF!</v>
      </c>
      <c r="F111" s="35" t="e">
        <f>SUMIF(#REF!,"철도",#REF!)</f>
        <v>#REF!</v>
      </c>
      <c r="G111" s="30" t="e">
        <f>SUMIF(#REF!,"철도",#REF!)</f>
        <v>#REF!</v>
      </c>
      <c r="H111" s="30" t="e">
        <f>SUMIF(#REF!,"철도",#REF!)</f>
        <v>#REF!</v>
      </c>
      <c r="I111" s="8" t="s">
        <v>26</v>
      </c>
      <c r="J111" s="31" t="e">
        <f>SUMIF(#REF!,"철도",#REF!)</f>
        <v>#REF!</v>
      </c>
      <c r="K111" s="31" t="e">
        <f>SUMIF(#REF!,"철도",#REF!)</f>
        <v>#REF!</v>
      </c>
      <c r="L111" s="30" t="e">
        <f>SUMIF(#REF!,"철도",#REF!)</f>
        <v>#REF!</v>
      </c>
      <c r="M111" s="30" t="e">
        <f>SUMIF(#REF!,"철도",#REF!)</f>
        <v>#REF!</v>
      </c>
      <c r="N111" s="8" t="s">
        <v>26</v>
      </c>
      <c r="O111" s="31" t="e">
        <f>SUMIF(#REF!,"철도",#REF!)</f>
        <v>#REF!</v>
      </c>
      <c r="P111" s="31" t="e">
        <f>SUMIF(#REF!,"철도",#REF!)</f>
        <v>#REF!</v>
      </c>
      <c r="Q111" s="56" t="e">
        <f t="shared" si="4"/>
        <v>#REF!</v>
      </c>
    </row>
    <row r="112" spans="1:17" s="20" customFormat="1" ht="29.1" hidden="1" customHeight="1" x14ac:dyDescent="0.15">
      <c r="A112" s="54" t="s">
        <v>15</v>
      </c>
      <c r="B112" s="30" t="e">
        <f>SUMIF(#REF!,"유지",#REF!)</f>
        <v>#REF!</v>
      </c>
      <c r="C112" s="30" t="e">
        <f>SUMIF(#REF!,"유지",#REF!)</f>
        <v>#REF!</v>
      </c>
      <c r="D112" s="8" t="s">
        <v>26</v>
      </c>
      <c r="E112" s="31" t="e">
        <f>SUMIF(#REF!,"유지",#REF!)</f>
        <v>#REF!</v>
      </c>
      <c r="F112" s="31" t="e">
        <f>SUMIF(#REF!,"유지",#REF!)</f>
        <v>#REF!</v>
      </c>
      <c r="G112" s="30" t="e">
        <f>SUMIF(#REF!,"유지",#REF!)</f>
        <v>#REF!</v>
      </c>
      <c r="H112" s="30" t="e">
        <f>SUMIF(#REF!,"유지",#REF!)</f>
        <v>#REF!</v>
      </c>
      <c r="I112" s="8" t="s">
        <v>26</v>
      </c>
      <c r="J112" s="31" t="e">
        <f>SUMIF(#REF!,"유지",#REF!)</f>
        <v>#REF!</v>
      </c>
      <c r="K112" s="31" t="e">
        <f>SUMIF(#REF!,"유지",#REF!)</f>
        <v>#REF!</v>
      </c>
      <c r="L112" s="30" t="e">
        <f>SUMIF(#REF!,"유지",#REF!)</f>
        <v>#REF!</v>
      </c>
      <c r="M112" s="30" t="e">
        <f>SUMIF(#REF!,"유지",#REF!)</f>
        <v>#REF!</v>
      </c>
      <c r="N112" s="8" t="s">
        <v>26</v>
      </c>
      <c r="O112" s="31" t="e">
        <f>SUMIF(#REF!,"유지",#REF!)</f>
        <v>#REF!</v>
      </c>
      <c r="P112" s="31" t="e">
        <f>SUMIF(#REF!,"유지",#REF!)</f>
        <v>#REF!</v>
      </c>
      <c r="Q112" s="21" t="e">
        <f t="shared" si="4"/>
        <v>#REF!</v>
      </c>
    </row>
    <row r="113" spans="1:17" s="20" customFormat="1" ht="29.1" hidden="1" customHeight="1" x14ac:dyDescent="0.15">
      <c r="A113" s="54" t="s">
        <v>55</v>
      </c>
      <c r="B113" s="30" t="e">
        <f>SUMIF(#REF!,"수도",#REF!)</f>
        <v>#REF!</v>
      </c>
      <c r="C113" s="34" t="e">
        <f>SUMIF(#REF!,"수도",#REF!)</f>
        <v>#REF!</v>
      </c>
      <c r="D113" s="8" t="s">
        <v>26</v>
      </c>
      <c r="E113" s="31" t="e">
        <f>SUMIF(#REF!,"수도",#REF!)</f>
        <v>#REF!</v>
      </c>
      <c r="F113" s="35" t="e">
        <f>SUMIF(#REF!,"수도",#REF!)</f>
        <v>#REF!</v>
      </c>
      <c r="G113" s="30" t="e">
        <f>SUMIF(#REF!,"수도",#REF!)</f>
        <v>#REF!</v>
      </c>
      <c r="H113" s="30" t="e">
        <f>SUMIF(#REF!,"수도",#REF!)</f>
        <v>#REF!</v>
      </c>
      <c r="I113" s="8" t="s">
        <v>26</v>
      </c>
      <c r="J113" s="31" t="e">
        <f>SUMIF(#REF!,"수도",#REF!)</f>
        <v>#REF!</v>
      </c>
      <c r="K113" s="31" t="e">
        <f>SUMIF(#REF!,"수도",#REF!)</f>
        <v>#REF!</v>
      </c>
      <c r="L113" s="30" t="e">
        <f>SUMIF(#REF!,"수도",#REF!)</f>
        <v>#REF!</v>
      </c>
      <c r="M113" s="30" t="e">
        <f>SUMIF(#REF!,"수도",#REF!)</f>
        <v>#REF!</v>
      </c>
      <c r="N113" s="8" t="s">
        <v>26</v>
      </c>
      <c r="O113" s="31" t="e">
        <f>SUMIF(#REF!,"수도",#REF!)</f>
        <v>#REF!</v>
      </c>
      <c r="P113" s="31" t="e">
        <f>SUMIF(#REF!,"수도",#REF!)</f>
        <v>#REF!</v>
      </c>
      <c r="Q113" s="56" t="e">
        <f t="shared" si="4"/>
        <v>#REF!</v>
      </c>
    </row>
    <row r="114" spans="1:17" s="20" customFormat="1" ht="29.1" hidden="1" customHeight="1" x14ac:dyDescent="0.15">
      <c r="A114" s="54" t="s">
        <v>40</v>
      </c>
      <c r="B114" s="30" t="e">
        <f>SUMIF(#REF!,"공장",#REF!)</f>
        <v>#REF!</v>
      </c>
      <c r="C114" s="34" t="e">
        <f>SUMIF(#REF!,"공장",#REF!)</f>
        <v>#REF!</v>
      </c>
      <c r="D114" s="8" t="s">
        <v>26</v>
      </c>
      <c r="E114" s="31" t="e">
        <f>SUMIF(#REF!,"공장",#REF!)</f>
        <v>#REF!</v>
      </c>
      <c r="F114" s="35" t="e">
        <f>SUMIF(#REF!,"공장",#REF!)</f>
        <v>#REF!</v>
      </c>
      <c r="G114" s="30" t="e">
        <f>SUMIF(#REF!,"공장",#REF!)</f>
        <v>#REF!</v>
      </c>
      <c r="H114" s="30" t="e">
        <f>SUMIF(#REF!,"공장",#REF!)</f>
        <v>#REF!</v>
      </c>
      <c r="I114" s="8" t="s">
        <v>26</v>
      </c>
      <c r="J114" s="31" t="e">
        <f>SUMIF(#REF!,"공장",#REF!)</f>
        <v>#REF!</v>
      </c>
      <c r="K114" s="31" t="e">
        <f>SUMIF(#REF!,"공장",#REF!)</f>
        <v>#REF!</v>
      </c>
      <c r="L114" s="30" t="e">
        <f>SUMIF(#REF!,"공장",#REF!)</f>
        <v>#REF!</v>
      </c>
      <c r="M114" s="30" t="e">
        <f>SUMIF(#REF!,"공장",#REF!)</f>
        <v>#REF!</v>
      </c>
      <c r="N114" s="8" t="s">
        <v>26</v>
      </c>
      <c r="O114" s="31" t="e">
        <f>SUMIF(#REF!,"공장",#REF!)</f>
        <v>#REF!</v>
      </c>
      <c r="P114" s="31" t="e">
        <f>SUMIF(#REF!,"공장",#REF!)</f>
        <v>#REF!</v>
      </c>
      <c r="Q114" s="56" t="e">
        <f t="shared" si="4"/>
        <v>#REF!</v>
      </c>
    </row>
    <row r="115" spans="1:17" s="20" customFormat="1" ht="29.1" hidden="1" customHeight="1" x14ac:dyDescent="0.15">
      <c r="A115" s="55" t="s">
        <v>56</v>
      </c>
      <c r="B115" s="32" t="e">
        <f>SUMIF(#REF!,"기타",#REF!)</f>
        <v>#REF!</v>
      </c>
      <c r="C115" s="38" t="e">
        <f>SUMIF(#REF!,"기타",#REF!)</f>
        <v>#REF!</v>
      </c>
      <c r="D115" s="22" t="s">
        <v>26</v>
      </c>
      <c r="E115" s="33" t="e">
        <f>SUMIF(#REF!,"기타",#REF!)</f>
        <v>#REF!</v>
      </c>
      <c r="F115" s="39" t="e">
        <f>SUMIF(#REF!,"기타",#REF!)</f>
        <v>#REF!</v>
      </c>
      <c r="G115" s="32" t="e">
        <f>SUMIF(#REF!,"기타",#REF!)</f>
        <v>#REF!</v>
      </c>
      <c r="H115" s="32" t="e">
        <f>SUMIF(#REF!,"기타",#REF!)</f>
        <v>#REF!</v>
      </c>
      <c r="I115" s="22" t="s">
        <v>26</v>
      </c>
      <c r="J115" s="33" t="e">
        <f>SUMIF(#REF!,"기타",#REF!)</f>
        <v>#REF!</v>
      </c>
      <c r="K115" s="33" t="e">
        <f>SUMIF(#REF!,"기타",#REF!)</f>
        <v>#REF!</v>
      </c>
      <c r="L115" s="32" t="e">
        <f>SUMIF(#REF!,"기타",#REF!)</f>
        <v>#REF!</v>
      </c>
      <c r="M115" s="32" t="e">
        <f>SUMIF(#REF!,"기타",#REF!)</f>
        <v>#REF!</v>
      </c>
      <c r="N115" s="22" t="s">
        <v>26</v>
      </c>
      <c r="O115" s="33" t="e">
        <f>SUMIF(#REF!,"기타",#REF!)</f>
        <v>#REF!</v>
      </c>
      <c r="P115" s="33" t="e">
        <f>SUMIF(#REF!,"기타",#REF!)</f>
        <v>#REF!</v>
      </c>
      <c r="Q115" s="56" t="e">
        <f t="shared" si="4"/>
        <v>#REF!</v>
      </c>
    </row>
    <row r="116" spans="1:17" ht="24.95" hidden="1" customHeight="1" x14ac:dyDescent="0.15">
      <c r="A116" s="40" t="s">
        <v>65</v>
      </c>
      <c r="B116" s="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s="20" customFormat="1" ht="20.100000000000001" hidden="1" customHeight="1" x14ac:dyDescent="0.15">
      <c r="A117" s="52"/>
      <c r="B117" s="5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53" t="s">
        <v>101</v>
      </c>
    </row>
    <row r="118" spans="1:17" s="20" customFormat="1" ht="29.1" hidden="1" customHeight="1" x14ac:dyDescent="0.15">
      <c r="A118" s="1064" t="s">
        <v>23</v>
      </c>
      <c r="B118" s="25" t="s">
        <v>24</v>
      </c>
      <c r="C118" s="25"/>
      <c r="D118" s="25"/>
      <c r="E118" s="25"/>
      <c r="F118" s="47"/>
      <c r="G118" s="25" t="s">
        <v>57</v>
      </c>
      <c r="H118" s="25"/>
      <c r="I118" s="25"/>
      <c r="J118" s="25"/>
      <c r="K118" s="47"/>
      <c r="L118" s="25" t="s">
        <v>41</v>
      </c>
      <c r="M118" s="25"/>
      <c r="N118" s="25"/>
      <c r="O118" s="25"/>
      <c r="P118" s="25"/>
      <c r="Q118" s="1067" t="s">
        <v>66</v>
      </c>
    </row>
    <row r="119" spans="1:17" s="20" customFormat="1" ht="29.1" hidden="1" customHeight="1" x14ac:dyDescent="0.15">
      <c r="A119" s="1065"/>
      <c r="B119" s="1070" t="s">
        <v>63</v>
      </c>
      <c r="C119" s="1071"/>
      <c r="D119" s="36" t="s">
        <v>26</v>
      </c>
      <c r="E119" s="1071" t="s">
        <v>43</v>
      </c>
      <c r="F119" s="1072"/>
      <c r="G119" s="1070" t="s">
        <v>63</v>
      </c>
      <c r="H119" s="1071"/>
      <c r="I119" s="36" t="s">
        <v>26</v>
      </c>
      <c r="J119" s="1071" t="s">
        <v>43</v>
      </c>
      <c r="K119" s="1072"/>
      <c r="L119" s="1070" t="s">
        <v>63</v>
      </c>
      <c r="M119" s="1072"/>
      <c r="N119" s="36" t="s">
        <v>26</v>
      </c>
      <c r="O119" s="1071" t="s">
        <v>43</v>
      </c>
      <c r="P119" s="1072"/>
      <c r="Q119" s="1068"/>
    </row>
    <row r="120" spans="1:17" s="20" customFormat="1" ht="29.1" hidden="1" customHeight="1" x14ac:dyDescent="0.15">
      <c r="A120" s="1066"/>
      <c r="B120" s="46" t="s">
        <v>61</v>
      </c>
      <c r="C120" s="46" t="s">
        <v>62</v>
      </c>
      <c r="D120" s="44" t="s">
        <v>26</v>
      </c>
      <c r="E120" s="44" t="s">
        <v>61</v>
      </c>
      <c r="F120" s="46" t="s">
        <v>62</v>
      </c>
      <c r="G120" s="46" t="s">
        <v>61</v>
      </c>
      <c r="H120" s="46" t="s">
        <v>62</v>
      </c>
      <c r="I120" s="44" t="s">
        <v>26</v>
      </c>
      <c r="J120" s="44" t="s">
        <v>61</v>
      </c>
      <c r="K120" s="46" t="s">
        <v>62</v>
      </c>
      <c r="L120" s="46" t="s">
        <v>61</v>
      </c>
      <c r="M120" s="46" t="s">
        <v>62</v>
      </c>
      <c r="N120" s="44" t="s">
        <v>26</v>
      </c>
      <c r="O120" s="44" t="s">
        <v>61</v>
      </c>
      <c r="P120" s="46" t="s">
        <v>62</v>
      </c>
      <c r="Q120" s="1069"/>
    </row>
    <row r="121" spans="1:17" s="20" customFormat="1" ht="29.1" hidden="1" customHeight="1" x14ac:dyDescent="0.15">
      <c r="A121" s="85" t="s">
        <v>24</v>
      </c>
      <c r="B121" s="27" t="e">
        <f>SUMIF(#REF!,"계",#REF!)</f>
        <v>#REF!</v>
      </c>
      <c r="C121" s="27" t="e">
        <f>SUMIF(#REF!,"계",#REF!)</f>
        <v>#REF!</v>
      </c>
      <c r="D121" s="28" t="s">
        <v>26</v>
      </c>
      <c r="E121" s="129" t="e">
        <f>SUMIF(#REF!,"계",#REF!)</f>
        <v>#REF!</v>
      </c>
      <c r="F121" s="129" t="e">
        <f>SUMIF(#REF!,"계",#REF!)</f>
        <v>#REF!</v>
      </c>
      <c r="G121" s="27" t="e">
        <f>SUMIF(#REF!,"계",#REF!)</f>
        <v>#REF!</v>
      </c>
      <c r="H121" s="27" t="e">
        <f>SUMIF(#REF!,"계",#REF!)</f>
        <v>#REF!</v>
      </c>
      <c r="I121" s="28" t="s">
        <v>26</v>
      </c>
      <c r="J121" s="129" t="e">
        <f>SUMIF(#REF!,"계",#REF!)</f>
        <v>#REF!</v>
      </c>
      <c r="K121" s="129" t="e">
        <f>SUMIF(#REF!,"계",#REF!)</f>
        <v>#REF!</v>
      </c>
      <c r="L121" s="27" t="e">
        <f>SUMIF(#REF!,"계",#REF!)</f>
        <v>#REF!</v>
      </c>
      <c r="M121" s="27" t="e">
        <f>SUMIF(#REF!,"계",#REF!)</f>
        <v>#REF!</v>
      </c>
      <c r="N121" s="28" t="s">
        <v>26</v>
      </c>
      <c r="O121" s="29" t="e">
        <f>SUMIF(#REF!,"계",#REF!)</f>
        <v>#REF!</v>
      </c>
      <c r="P121" s="29" t="e">
        <f>SUMIF(#REF!,"계",#REF!)</f>
        <v>#REF!</v>
      </c>
      <c r="Q121" s="26" t="e">
        <f>F121-E121</f>
        <v>#REF!</v>
      </c>
    </row>
    <row r="122" spans="1:17" s="20" customFormat="1" ht="29.1" hidden="1" customHeight="1" x14ac:dyDescent="0.15">
      <c r="A122" s="54" t="s">
        <v>27</v>
      </c>
      <c r="B122" s="30" t="e">
        <f>SUMIF(#REF!,"전",#REF!)</f>
        <v>#REF!</v>
      </c>
      <c r="C122" s="30" t="e">
        <f>SUMIF(#REF!,"전",#REF!)</f>
        <v>#REF!</v>
      </c>
      <c r="D122" s="8" t="s">
        <v>26</v>
      </c>
      <c r="E122" s="31" t="e">
        <f>SUMIF(#REF!,"전",#REF!)</f>
        <v>#REF!</v>
      </c>
      <c r="F122" s="31" t="e">
        <f>SUMIF(#REF!,"전",#REF!)</f>
        <v>#REF!</v>
      </c>
      <c r="G122" s="30" t="e">
        <f>SUMIF(#REF!,"전",#REF!)</f>
        <v>#REF!</v>
      </c>
      <c r="H122" s="30" t="e">
        <f>SUMIF(#REF!,"전",#REF!)</f>
        <v>#REF!</v>
      </c>
      <c r="I122" s="8" t="s">
        <v>26</v>
      </c>
      <c r="J122" s="31" t="e">
        <f>SUMIF(#REF!,"전",#REF!)</f>
        <v>#REF!</v>
      </c>
      <c r="K122" s="31" t="e">
        <f>SUMIF(#REF!,"전",#REF!)</f>
        <v>#REF!</v>
      </c>
      <c r="L122" s="30" t="e">
        <f>SUMIF(#REF!,"전",#REF!)</f>
        <v>#REF!</v>
      </c>
      <c r="M122" s="30" t="e">
        <f>SUMIF(#REF!,"전",#REF!)</f>
        <v>#REF!</v>
      </c>
      <c r="N122" s="8" t="s">
        <v>26</v>
      </c>
      <c r="O122" s="31" t="e">
        <f>SUMIF(#REF!,"전",#REF!)</f>
        <v>#REF!</v>
      </c>
      <c r="P122" s="31" t="e">
        <f>SUMIF(#REF!,"전",#REF!)</f>
        <v>#REF!</v>
      </c>
      <c r="Q122" s="21" t="e">
        <f t="shared" ref="Q122:Q138" si="5">F122-E122</f>
        <v>#REF!</v>
      </c>
    </row>
    <row r="123" spans="1:17" s="20" customFormat="1" ht="29.1" hidden="1" customHeight="1" x14ac:dyDescent="0.15">
      <c r="A123" s="54" t="s">
        <v>28</v>
      </c>
      <c r="B123" s="30" t="e">
        <f>SUMIF(#REF!,"답",#REF!)</f>
        <v>#REF!</v>
      </c>
      <c r="C123" s="30" t="e">
        <f>SUMIF(#REF!,"답",#REF!)</f>
        <v>#REF!</v>
      </c>
      <c r="D123" s="8" t="s">
        <v>26</v>
      </c>
      <c r="E123" s="130" t="e">
        <f>SUMIF(#REF!,"답",#REF!)</f>
        <v>#REF!</v>
      </c>
      <c r="F123" s="130" t="e">
        <f>SUMIF(#REF!,"답",#REF!)</f>
        <v>#REF!</v>
      </c>
      <c r="G123" s="30" t="e">
        <f>SUMIF(#REF!,"답",#REF!)</f>
        <v>#REF!</v>
      </c>
      <c r="H123" s="30" t="e">
        <f>SUMIF(#REF!,"답",#REF!)</f>
        <v>#REF!</v>
      </c>
      <c r="I123" s="8" t="s">
        <v>26</v>
      </c>
      <c r="J123" s="130" t="e">
        <f>SUMIF(#REF!,"답",#REF!)</f>
        <v>#REF!</v>
      </c>
      <c r="K123" s="130" t="e">
        <f>SUMIF(#REF!,"답",#REF!)</f>
        <v>#REF!</v>
      </c>
      <c r="L123" s="30" t="e">
        <f>SUMIF(#REF!,"답",#REF!)</f>
        <v>#REF!</v>
      </c>
      <c r="M123" s="30" t="e">
        <f>SUMIF(#REF!,"답",#REF!)</f>
        <v>#REF!</v>
      </c>
      <c r="N123" s="8" t="s">
        <v>26</v>
      </c>
      <c r="O123" s="31" t="e">
        <f>SUMIF(#REF!,"답",#REF!)</f>
        <v>#REF!</v>
      </c>
      <c r="P123" s="31" t="e">
        <f>SUMIF(#REF!,"답",#REF!)</f>
        <v>#REF!</v>
      </c>
      <c r="Q123" s="21" t="e">
        <f t="shared" si="5"/>
        <v>#REF!</v>
      </c>
    </row>
    <row r="124" spans="1:17" s="20" customFormat="1" ht="29.1" hidden="1" customHeight="1" x14ac:dyDescent="0.15">
      <c r="A124" s="54" t="s">
        <v>29</v>
      </c>
      <c r="B124" s="30" t="e">
        <f>SUMIF(#REF!,"대지",#REF!)</f>
        <v>#REF!</v>
      </c>
      <c r="C124" s="30" t="e">
        <f>SUMIF(#REF!,"대지",#REF!)</f>
        <v>#REF!</v>
      </c>
      <c r="D124" s="8" t="s">
        <v>26</v>
      </c>
      <c r="E124" s="31" t="e">
        <f>SUMIF(#REF!,"대지",#REF!)</f>
        <v>#REF!</v>
      </c>
      <c r="F124" s="31" t="e">
        <f>SUMIF(#REF!,"대지",#REF!)</f>
        <v>#REF!</v>
      </c>
      <c r="G124" s="30" t="e">
        <f>SUMIF(#REF!,"대지",#REF!)</f>
        <v>#REF!</v>
      </c>
      <c r="H124" s="30" t="e">
        <f>SUMIF(#REF!,"대지",#REF!)</f>
        <v>#REF!</v>
      </c>
      <c r="I124" s="8" t="s">
        <v>26</v>
      </c>
      <c r="J124" s="31" t="e">
        <f>SUMIF(#REF!,"대지",#REF!)</f>
        <v>#REF!</v>
      </c>
      <c r="K124" s="31" t="e">
        <f>SUMIF(#REF!,"대지",#REF!)</f>
        <v>#REF!</v>
      </c>
      <c r="L124" s="30" t="e">
        <f>SUMIF(#REF!,"대지",#REF!)</f>
        <v>#REF!</v>
      </c>
      <c r="M124" s="30" t="e">
        <f>SUMIF(#REF!,"대지",#REF!)</f>
        <v>#REF!</v>
      </c>
      <c r="N124" s="8" t="s">
        <v>26</v>
      </c>
      <c r="O124" s="31" t="e">
        <f>SUMIF(#REF!,"대지",#REF!)</f>
        <v>#REF!</v>
      </c>
      <c r="P124" s="31" t="e">
        <f>SUMIF(#REF!,"대지",#REF!)</f>
        <v>#REF!</v>
      </c>
      <c r="Q124" s="21" t="e">
        <f t="shared" si="5"/>
        <v>#REF!</v>
      </c>
    </row>
    <row r="125" spans="1:17" s="20" customFormat="1" ht="29.1" hidden="1" customHeight="1" x14ac:dyDescent="0.15">
      <c r="A125" s="54" t="s">
        <v>30</v>
      </c>
      <c r="B125" s="30" t="e">
        <f>SUMIF(#REF!,"임야",#REF!)</f>
        <v>#REF!</v>
      </c>
      <c r="C125" s="30" t="e">
        <f>SUMIF(#REF!,"임야",#REF!)</f>
        <v>#REF!</v>
      </c>
      <c r="D125" s="8" t="s">
        <v>26</v>
      </c>
      <c r="E125" s="31" t="e">
        <f>SUMIF(#REF!,"임야",#REF!)</f>
        <v>#REF!</v>
      </c>
      <c r="F125" s="31" t="e">
        <f>SUMIF(#REF!,"임야",#REF!)</f>
        <v>#REF!</v>
      </c>
      <c r="G125" s="30" t="e">
        <f>SUMIF(#REF!,"임야",#REF!)</f>
        <v>#REF!</v>
      </c>
      <c r="H125" s="30" t="e">
        <f>SUMIF(#REF!,"임야",#REF!)</f>
        <v>#REF!</v>
      </c>
      <c r="I125" s="8" t="s">
        <v>26</v>
      </c>
      <c r="J125" s="31" t="e">
        <f>SUMIF(#REF!,"임야",#REF!)</f>
        <v>#REF!</v>
      </c>
      <c r="K125" s="31" t="e">
        <f>SUMIF(#REF!,"임야",#REF!)</f>
        <v>#REF!</v>
      </c>
      <c r="L125" s="30" t="e">
        <f>SUMIF(#REF!,"임야",#REF!)</f>
        <v>#REF!</v>
      </c>
      <c r="M125" s="30" t="e">
        <f>SUMIF(#REF!,"임야",#REF!)</f>
        <v>#REF!</v>
      </c>
      <c r="N125" s="8" t="s">
        <v>26</v>
      </c>
      <c r="O125" s="31" t="e">
        <f>SUMIF(#REF!,"임야",#REF!)</f>
        <v>#REF!</v>
      </c>
      <c r="P125" s="31" t="e">
        <f>SUMIF(#REF!,"임야",#REF!)</f>
        <v>#REF!</v>
      </c>
      <c r="Q125" s="21" t="e">
        <f t="shared" si="5"/>
        <v>#REF!</v>
      </c>
    </row>
    <row r="126" spans="1:17" s="20" customFormat="1" ht="29.1" hidden="1" customHeight="1" x14ac:dyDescent="0.15">
      <c r="A126" s="54" t="s">
        <v>31</v>
      </c>
      <c r="B126" s="30" t="e">
        <f>SUMIF(#REF!,"도로",#REF!)</f>
        <v>#REF!</v>
      </c>
      <c r="C126" s="30" t="e">
        <f>SUMIF(#REF!,"도로",#REF!)</f>
        <v>#REF!</v>
      </c>
      <c r="D126" s="8" t="s">
        <v>26</v>
      </c>
      <c r="E126" s="31" t="e">
        <f>SUMIF(#REF!,"도로",#REF!)</f>
        <v>#REF!</v>
      </c>
      <c r="F126" s="31" t="e">
        <f>SUMIF(#REF!,"도로",#REF!)</f>
        <v>#REF!</v>
      </c>
      <c r="G126" s="30" t="e">
        <f>SUMIF(#REF!,"도로",#REF!)</f>
        <v>#REF!</v>
      </c>
      <c r="H126" s="30" t="e">
        <f>SUMIF(#REF!,"도로",#REF!)</f>
        <v>#REF!</v>
      </c>
      <c r="I126" s="8" t="s">
        <v>26</v>
      </c>
      <c r="J126" s="31" t="e">
        <f>SUMIF(#REF!,"도로",#REF!)</f>
        <v>#REF!</v>
      </c>
      <c r="K126" s="31" t="e">
        <f>SUMIF(#REF!,"도로",#REF!)</f>
        <v>#REF!</v>
      </c>
      <c r="L126" s="30" t="e">
        <f>SUMIF(#REF!,"도로",#REF!)</f>
        <v>#REF!</v>
      </c>
      <c r="M126" s="30" t="e">
        <f>SUMIF(#REF!,"도로",#REF!)</f>
        <v>#REF!</v>
      </c>
      <c r="N126" s="8" t="s">
        <v>26</v>
      </c>
      <c r="O126" s="31" t="e">
        <f>SUMIF(#REF!,"도로",#REF!)</f>
        <v>#REF!</v>
      </c>
      <c r="P126" s="31" t="e">
        <f>SUMIF(#REF!,"도로",#REF!)</f>
        <v>#REF!</v>
      </c>
      <c r="Q126" s="21" t="e">
        <f t="shared" si="5"/>
        <v>#REF!</v>
      </c>
    </row>
    <row r="127" spans="1:17" s="20" customFormat="1" ht="29.1" hidden="1" customHeight="1" x14ac:dyDescent="0.15">
      <c r="A127" s="54" t="s">
        <v>32</v>
      </c>
      <c r="B127" s="30" t="e">
        <f>SUMIF(#REF!,"하천",#REF!)</f>
        <v>#REF!</v>
      </c>
      <c r="C127" s="30" t="e">
        <f>SUMIF(#REF!,"하천",#REF!)</f>
        <v>#REF!</v>
      </c>
      <c r="D127" s="8" t="s">
        <v>26</v>
      </c>
      <c r="E127" s="31" t="e">
        <f>SUMIF(#REF!,"하천",#REF!)</f>
        <v>#REF!</v>
      </c>
      <c r="F127" s="31" t="e">
        <f>SUMIF(#REF!,"하천",#REF!)</f>
        <v>#REF!</v>
      </c>
      <c r="G127" s="30" t="e">
        <f>SUMIF(#REF!,"하천",#REF!)</f>
        <v>#REF!</v>
      </c>
      <c r="H127" s="30" t="e">
        <f>SUMIF(#REF!,"하천",#REF!)</f>
        <v>#REF!</v>
      </c>
      <c r="I127" s="8" t="s">
        <v>26</v>
      </c>
      <c r="J127" s="31" t="e">
        <f>SUMIF(#REF!,"하천",#REF!)</f>
        <v>#REF!</v>
      </c>
      <c r="K127" s="31" t="e">
        <f>SUMIF(#REF!,"하천",#REF!)</f>
        <v>#REF!</v>
      </c>
      <c r="L127" s="30" t="e">
        <f>SUMIF(#REF!,"하천",#REF!)</f>
        <v>#REF!</v>
      </c>
      <c r="M127" s="30" t="e">
        <f>SUMIF(#REF!,"하천",#REF!)</f>
        <v>#REF!</v>
      </c>
      <c r="N127" s="8" t="s">
        <v>26</v>
      </c>
      <c r="O127" s="31" t="e">
        <f>SUMIF(#REF!,"하천",#REF!)</f>
        <v>#REF!</v>
      </c>
      <c r="P127" s="31" t="e">
        <f>SUMIF(#REF!,"하천",#REF!)</f>
        <v>#REF!</v>
      </c>
      <c r="Q127" s="21" t="e">
        <f t="shared" si="5"/>
        <v>#REF!</v>
      </c>
    </row>
    <row r="128" spans="1:17" s="20" customFormat="1" ht="29.1" hidden="1" customHeight="1" x14ac:dyDescent="0.15">
      <c r="A128" s="54" t="s">
        <v>33</v>
      </c>
      <c r="B128" s="30" t="e">
        <f>SUMIF(#REF!,"구거",#REF!)</f>
        <v>#REF!</v>
      </c>
      <c r="C128" s="30" t="e">
        <f>SUMIF(#REF!,"구거",#REF!)</f>
        <v>#REF!</v>
      </c>
      <c r="D128" s="8" t="s">
        <v>26</v>
      </c>
      <c r="E128" s="130" t="e">
        <f>SUMIF(#REF!,"구거",#REF!)</f>
        <v>#REF!</v>
      </c>
      <c r="F128" s="130" t="e">
        <f>SUMIF(#REF!,"구거",#REF!)</f>
        <v>#REF!</v>
      </c>
      <c r="G128" s="30" t="e">
        <f>SUMIF(#REF!,"구거",#REF!)</f>
        <v>#REF!</v>
      </c>
      <c r="H128" s="30" t="e">
        <f>SUMIF(#REF!,"구거",#REF!)</f>
        <v>#REF!</v>
      </c>
      <c r="I128" s="8" t="s">
        <v>26</v>
      </c>
      <c r="J128" s="130" t="e">
        <f>SUMIF(#REF!,"구거",#REF!)</f>
        <v>#REF!</v>
      </c>
      <c r="K128" s="130" t="e">
        <f>SUMIF(#REF!,"구거",#REF!)</f>
        <v>#REF!</v>
      </c>
      <c r="L128" s="30" t="e">
        <f>SUMIF(#REF!,"구거",#REF!)</f>
        <v>#REF!</v>
      </c>
      <c r="M128" s="30" t="e">
        <f>SUMIF(#REF!,"구거",#REF!)</f>
        <v>#REF!</v>
      </c>
      <c r="N128" s="8" t="s">
        <v>26</v>
      </c>
      <c r="O128" s="31" t="e">
        <f>SUMIF(#REF!,"구거",#REF!)</f>
        <v>#REF!</v>
      </c>
      <c r="P128" s="31" t="e">
        <f>SUMIF(#REF!,"구거",#REF!)</f>
        <v>#REF!</v>
      </c>
      <c r="Q128" s="21" t="e">
        <f t="shared" si="5"/>
        <v>#REF!</v>
      </c>
    </row>
    <row r="129" spans="1:17" s="20" customFormat="1" ht="29.1" hidden="1" customHeight="1" x14ac:dyDescent="0.15">
      <c r="A129" s="54" t="s">
        <v>34</v>
      </c>
      <c r="B129" s="30" t="e">
        <f>SUMIF(#REF!,"제방",#REF!)</f>
        <v>#REF!</v>
      </c>
      <c r="C129" s="30" t="e">
        <f>SUMIF(#REF!,"제방",#REF!)</f>
        <v>#REF!</v>
      </c>
      <c r="D129" s="8" t="s">
        <v>26</v>
      </c>
      <c r="E129" s="31" t="e">
        <f>SUMIF(#REF!,"제방",#REF!)</f>
        <v>#REF!</v>
      </c>
      <c r="F129" s="31" t="e">
        <f>SUMIF(#REF!,"제방",#REF!)</f>
        <v>#REF!</v>
      </c>
      <c r="G129" s="30" t="e">
        <f>SUMIF(#REF!,"제방",#REF!)</f>
        <v>#REF!</v>
      </c>
      <c r="H129" s="30" t="e">
        <f>SUMIF(#REF!,"제방",#REF!)</f>
        <v>#REF!</v>
      </c>
      <c r="I129" s="8" t="s">
        <v>26</v>
      </c>
      <c r="J129" s="31" t="e">
        <f>SUMIF(#REF!,"제방",#REF!)</f>
        <v>#REF!</v>
      </c>
      <c r="K129" s="31" t="e">
        <f>SUMIF(#REF!,"제방",#REF!)</f>
        <v>#REF!</v>
      </c>
      <c r="L129" s="30" t="e">
        <f>SUMIF(#REF!,"제방",#REF!)</f>
        <v>#REF!</v>
      </c>
      <c r="M129" s="30" t="e">
        <f>SUMIF(#REF!,"제방",#REF!)</f>
        <v>#REF!</v>
      </c>
      <c r="N129" s="8" t="s">
        <v>26</v>
      </c>
      <c r="O129" s="31" t="e">
        <f>SUMIF(#REF!,"제방",#REF!)</f>
        <v>#REF!</v>
      </c>
      <c r="P129" s="31" t="e">
        <f>SUMIF(#REF!,"제방",#REF!)</f>
        <v>#REF!</v>
      </c>
      <c r="Q129" s="21" t="e">
        <f t="shared" si="5"/>
        <v>#REF!</v>
      </c>
    </row>
    <row r="130" spans="1:17" s="20" customFormat="1" ht="29.1" hidden="1" customHeight="1" x14ac:dyDescent="0.15">
      <c r="A130" s="54" t="s">
        <v>52</v>
      </c>
      <c r="B130" s="30" t="e">
        <f>SUMIF(#REF!,"유지",#REF!)</f>
        <v>#REF!</v>
      </c>
      <c r="C130" s="30" t="e">
        <f>SUMIF(#REF!,"유지",#REF!)</f>
        <v>#REF!</v>
      </c>
      <c r="D130" s="8" t="s">
        <v>26</v>
      </c>
      <c r="E130" s="31" t="e">
        <f>SUMIF(#REF!,"유지",#REF!)</f>
        <v>#REF!</v>
      </c>
      <c r="F130" s="31" t="e">
        <f>SUMIF(#REF!,"유지",#REF!)</f>
        <v>#REF!</v>
      </c>
      <c r="G130" s="30" t="e">
        <f>SUMIF(#REF!,"유지",#REF!)</f>
        <v>#REF!</v>
      </c>
      <c r="H130" s="30" t="e">
        <f>SUMIF(#REF!,"유지",#REF!)</f>
        <v>#REF!</v>
      </c>
      <c r="I130" s="8" t="s">
        <v>26</v>
      </c>
      <c r="J130" s="31" t="e">
        <f>SUMIF(#REF!,"유지",#REF!)</f>
        <v>#REF!</v>
      </c>
      <c r="K130" s="31" t="e">
        <f>SUMIF(#REF!,"유지",#REF!)</f>
        <v>#REF!</v>
      </c>
      <c r="L130" s="30" t="e">
        <f>SUMIF(#REF!,"유지",#REF!)</f>
        <v>#REF!</v>
      </c>
      <c r="M130" s="30" t="e">
        <f>SUMIF(#REF!,"유지",#REF!)</f>
        <v>#REF!</v>
      </c>
      <c r="N130" s="8" t="s">
        <v>26</v>
      </c>
      <c r="O130" s="31" t="e">
        <f>SUMIF(#REF!,"유지",#REF!)</f>
        <v>#REF!</v>
      </c>
      <c r="P130" s="31" t="e">
        <f>SUMIF(#REF!,"유지",#REF!)</f>
        <v>#REF!</v>
      </c>
      <c r="Q130" s="21" t="e">
        <f t="shared" si="5"/>
        <v>#REF!</v>
      </c>
    </row>
    <row r="131" spans="1:17" s="20" customFormat="1" ht="29.1" hidden="1" customHeight="1" x14ac:dyDescent="0.15">
      <c r="A131" s="54" t="s">
        <v>35</v>
      </c>
      <c r="B131" s="30" t="e">
        <f>SUMIF(#REF!,"잡종지",#REF!)</f>
        <v>#REF!</v>
      </c>
      <c r="C131" s="30" t="e">
        <f>SUMIF(#REF!,"잡종지",#REF!)</f>
        <v>#REF!</v>
      </c>
      <c r="D131" s="8" t="s">
        <v>26</v>
      </c>
      <c r="E131" s="31" t="e">
        <f>SUMIF(#REF!,"잡종지",#REF!)</f>
        <v>#REF!</v>
      </c>
      <c r="F131" s="31" t="e">
        <f>SUMIF(#REF!,"잡종지",#REF!)</f>
        <v>#REF!</v>
      </c>
      <c r="G131" s="30" t="e">
        <f>SUMIF(#REF!,"잡종지",#REF!)</f>
        <v>#REF!</v>
      </c>
      <c r="H131" s="30" t="e">
        <f>SUMIF(#REF!,"잡종지",#REF!)</f>
        <v>#REF!</v>
      </c>
      <c r="I131" s="8" t="s">
        <v>26</v>
      </c>
      <c r="J131" s="31" t="e">
        <f>SUMIF(#REF!,"잡종지",#REF!)</f>
        <v>#REF!</v>
      </c>
      <c r="K131" s="31" t="e">
        <f>SUMIF(#REF!,"잡종지",#REF!)</f>
        <v>#REF!</v>
      </c>
      <c r="L131" s="30" t="e">
        <f>SUMIF(#REF!,"잡종지",#REF!)</f>
        <v>#REF!</v>
      </c>
      <c r="M131" s="30" t="e">
        <f>SUMIF(#REF!,"잡종지",#REF!)</f>
        <v>#REF!</v>
      </c>
      <c r="N131" s="8" t="s">
        <v>26</v>
      </c>
      <c r="O131" s="31" t="e">
        <f>SUMIF(#REF!,"잡종지",#REF!)</f>
        <v>#REF!</v>
      </c>
      <c r="P131" s="31" t="e">
        <f>SUMIF(#REF!,"잡종지",#REF!)</f>
        <v>#REF!</v>
      </c>
      <c r="Q131" s="21" t="e">
        <f t="shared" si="5"/>
        <v>#REF!</v>
      </c>
    </row>
    <row r="132" spans="1:17" s="20" customFormat="1" ht="29.1" hidden="1" customHeight="1" x14ac:dyDescent="0.15">
      <c r="A132" s="54" t="s">
        <v>36</v>
      </c>
      <c r="B132" s="30" t="e">
        <f>SUMIF(#REF!,"묘지",#REF!)</f>
        <v>#REF!</v>
      </c>
      <c r="C132" s="30" t="e">
        <f>SUMIF(#REF!,"묘지",#REF!)</f>
        <v>#REF!</v>
      </c>
      <c r="D132" s="8" t="s">
        <v>26</v>
      </c>
      <c r="E132" s="31" t="e">
        <f>SUMIF(#REF!,"묘지",#REF!)</f>
        <v>#REF!</v>
      </c>
      <c r="F132" s="31" t="e">
        <f>SUMIF(#REF!,"묘지",#REF!)</f>
        <v>#REF!</v>
      </c>
      <c r="G132" s="30" t="e">
        <f>SUMIF(#REF!,"묘지",#REF!)</f>
        <v>#REF!</v>
      </c>
      <c r="H132" s="30" t="e">
        <f>SUMIF(#REF!,"묘지",#REF!)</f>
        <v>#REF!</v>
      </c>
      <c r="I132" s="8" t="s">
        <v>26</v>
      </c>
      <c r="J132" s="31" t="e">
        <f>SUMIF(#REF!,"묘지",#REF!)</f>
        <v>#REF!</v>
      </c>
      <c r="K132" s="31" t="e">
        <f>SUMIF(#REF!,"묘지",#REF!)</f>
        <v>#REF!</v>
      </c>
      <c r="L132" s="30" t="e">
        <f>SUMIF(#REF!,"묘지",#REF!)</f>
        <v>#REF!</v>
      </c>
      <c r="M132" s="30" t="e">
        <f>SUMIF(#REF!,"묘지",#REF!)</f>
        <v>#REF!</v>
      </c>
      <c r="N132" s="8" t="s">
        <v>26</v>
      </c>
      <c r="O132" s="31" t="e">
        <f>SUMIF(#REF!,"묘지",#REF!)</f>
        <v>#REF!</v>
      </c>
      <c r="P132" s="31" t="e">
        <f>SUMIF(#REF!,"묘지",#REF!)</f>
        <v>#REF!</v>
      </c>
      <c r="Q132" s="21" t="e">
        <f t="shared" si="5"/>
        <v>#REF!</v>
      </c>
    </row>
    <row r="133" spans="1:17" s="20" customFormat="1" ht="29.1" hidden="1" customHeight="1" x14ac:dyDescent="0.15">
      <c r="A133" s="54" t="s">
        <v>53</v>
      </c>
      <c r="B133" s="30" t="e">
        <f>SUMIF(#REF!,"과수원",#REF!)</f>
        <v>#REF!</v>
      </c>
      <c r="C133" s="30" t="e">
        <f>SUMIF(#REF!,"과수원",#REF!)</f>
        <v>#REF!</v>
      </c>
      <c r="D133" s="8" t="s">
        <v>26</v>
      </c>
      <c r="E133" s="31" t="e">
        <f>SUMIF(#REF!,"과수원",#REF!)</f>
        <v>#REF!</v>
      </c>
      <c r="F133" s="31" t="e">
        <f>SUMIF(#REF!,"과수원",#REF!)</f>
        <v>#REF!</v>
      </c>
      <c r="G133" s="30" t="e">
        <f>SUMIF(#REF!,"과수원",#REF!)</f>
        <v>#REF!</v>
      </c>
      <c r="H133" s="30" t="e">
        <f>SUMIF(#REF!,"과수원",#REF!)</f>
        <v>#REF!</v>
      </c>
      <c r="I133" s="8" t="s">
        <v>26</v>
      </c>
      <c r="J133" s="31" t="e">
        <f>SUMIF(#REF!,"과수원",#REF!)</f>
        <v>#REF!</v>
      </c>
      <c r="K133" s="31" t="e">
        <f>SUMIF(#REF!,"과수원",#REF!)</f>
        <v>#REF!</v>
      </c>
      <c r="L133" s="30" t="e">
        <f>SUMIF(#REF!,"과수원",#REF!)</f>
        <v>#REF!</v>
      </c>
      <c r="M133" s="30" t="e">
        <f>SUMIF(#REF!,"과수원",#REF!)</f>
        <v>#REF!</v>
      </c>
      <c r="N133" s="8" t="s">
        <v>26</v>
      </c>
      <c r="O133" s="31" t="e">
        <f>SUMIF(#REF!,"과수원",#REF!)</f>
        <v>#REF!</v>
      </c>
      <c r="P133" s="31" t="e">
        <f>SUMIF(#REF!,"과수원",#REF!)</f>
        <v>#REF!</v>
      </c>
      <c r="Q133" s="21" t="e">
        <f t="shared" si="5"/>
        <v>#REF!</v>
      </c>
    </row>
    <row r="134" spans="1:17" s="20" customFormat="1" ht="29.1" hidden="1" customHeight="1" x14ac:dyDescent="0.15">
      <c r="A134" s="54" t="s">
        <v>54</v>
      </c>
      <c r="B134" s="30" t="e">
        <f>SUMIF(#REF!,"철도",#REF!)</f>
        <v>#REF!</v>
      </c>
      <c r="C134" s="30" t="e">
        <f>SUMIF(#REF!,"철도",#REF!)</f>
        <v>#REF!</v>
      </c>
      <c r="D134" s="8" t="s">
        <v>26</v>
      </c>
      <c r="E134" s="31" t="e">
        <f>SUMIF(#REF!,"철도",#REF!)</f>
        <v>#REF!</v>
      </c>
      <c r="F134" s="31" t="e">
        <f>SUMIF(#REF!,"철도",#REF!)</f>
        <v>#REF!</v>
      </c>
      <c r="G134" s="30" t="e">
        <f>SUMIF(#REF!,"철도",#REF!)</f>
        <v>#REF!</v>
      </c>
      <c r="H134" s="30" t="e">
        <f>SUMIF(#REF!,"철도",#REF!)</f>
        <v>#REF!</v>
      </c>
      <c r="I134" s="8" t="s">
        <v>26</v>
      </c>
      <c r="J134" s="31" t="e">
        <f>SUMIF(#REF!,"철도",#REF!)</f>
        <v>#REF!</v>
      </c>
      <c r="K134" s="31" t="e">
        <f>SUMIF(#REF!,"철도",#REF!)</f>
        <v>#REF!</v>
      </c>
      <c r="L134" s="30" t="e">
        <f>SUMIF(#REF!,"철도",#REF!)</f>
        <v>#REF!</v>
      </c>
      <c r="M134" s="30" t="e">
        <f>SUMIF(#REF!,"철도",#REF!)</f>
        <v>#REF!</v>
      </c>
      <c r="N134" s="8" t="s">
        <v>26</v>
      </c>
      <c r="O134" s="31" t="e">
        <f>SUMIF(#REF!,"철도",#REF!)</f>
        <v>#REF!</v>
      </c>
      <c r="P134" s="31" t="e">
        <f>SUMIF(#REF!,"철도",#REF!)</f>
        <v>#REF!</v>
      </c>
      <c r="Q134" s="21" t="e">
        <f t="shared" si="5"/>
        <v>#REF!</v>
      </c>
    </row>
    <row r="135" spans="1:17" s="20" customFormat="1" ht="29.1" hidden="1" customHeight="1" x14ac:dyDescent="0.15">
      <c r="A135" s="54" t="s">
        <v>38</v>
      </c>
      <c r="B135" s="30" t="e">
        <f>SUMIF(#REF!,"학교용지",#REF!)</f>
        <v>#REF!</v>
      </c>
      <c r="C135" s="30" t="e">
        <f>SUMIF(#REF!,"학교용지",#REF!)</f>
        <v>#REF!</v>
      </c>
      <c r="D135" s="8" t="s">
        <v>26</v>
      </c>
      <c r="E135" s="31" t="e">
        <f>SUMIF(#REF!,"학교용지",#REF!)</f>
        <v>#REF!</v>
      </c>
      <c r="F135" s="31" t="e">
        <f>SUMIF(#REF!,"학교용지",#REF!)</f>
        <v>#REF!</v>
      </c>
      <c r="G135" s="30" t="e">
        <f>SUMIF(#REF!,"학교용지",#REF!)</f>
        <v>#REF!</v>
      </c>
      <c r="H135" s="30" t="e">
        <f>SUMIF(#REF!,"학교용지",#REF!)</f>
        <v>#REF!</v>
      </c>
      <c r="I135" s="8" t="s">
        <v>26</v>
      </c>
      <c r="J135" s="31" t="e">
        <f>SUMIF(#REF!,"학교용지",#REF!)</f>
        <v>#REF!</v>
      </c>
      <c r="K135" s="31" t="e">
        <f>SUMIF(#REF!,"학교용지",#REF!)</f>
        <v>#REF!</v>
      </c>
      <c r="L135" s="30" t="e">
        <f>SUMIF(#REF!,"학교용지",#REF!)</f>
        <v>#REF!</v>
      </c>
      <c r="M135" s="30" t="e">
        <f>SUMIF(#REF!,"학교용지",#REF!)</f>
        <v>#REF!</v>
      </c>
      <c r="N135" s="8" t="s">
        <v>26</v>
      </c>
      <c r="O135" s="31" t="e">
        <f>SUMIF(#REF!,"학교용지",#REF!)</f>
        <v>#REF!</v>
      </c>
      <c r="P135" s="31" t="e">
        <f>SUMIF(#REF!,"학교용지",#REF!)</f>
        <v>#REF!</v>
      </c>
      <c r="Q135" s="21" t="e">
        <f t="shared" si="5"/>
        <v>#REF!</v>
      </c>
    </row>
    <row r="136" spans="1:17" s="20" customFormat="1" ht="29.1" hidden="1" customHeight="1" x14ac:dyDescent="0.15">
      <c r="A136" s="54" t="s">
        <v>55</v>
      </c>
      <c r="B136" s="30" t="e">
        <f>SUMIF(#REF!,"수도",#REF!)</f>
        <v>#REF!</v>
      </c>
      <c r="C136" s="34" t="e">
        <f>SUMIF(#REF!,"수도",#REF!)</f>
        <v>#REF!</v>
      </c>
      <c r="D136" s="8" t="s">
        <v>26</v>
      </c>
      <c r="E136" s="31" t="e">
        <f>SUMIF(#REF!,"수도",#REF!)</f>
        <v>#REF!</v>
      </c>
      <c r="F136" s="35" t="e">
        <f>SUMIF(#REF!,"수도",#REF!)</f>
        <v>#REF!</v>
      </c>
      <c r="G136" s="30" t="e">
        <f>SUMIF(#REF!,"수도",#REF!)</f>
        <v>#REF!</v>
      </c>
      <c r="H136" s="30" t="e">
        <f>SUMIF(#REF!,"수도",#REF!)</f>
        <v>#REF!</v>
      </c>
      <c r="I136" s="8" t="s">
        <v>26</v>
      </c>
      <c r="J136" s="31" t="e">
        <f>SUMIF(#REF!,"수도",#REF!)</f>
        <v>#REF!</v>
      </c>
      <c r="K136" s="31" t="e">
        <f>SUMIF(#REF!,"수도",#REF!)</f>
        <v>#REF!</v>
      </c>
      <c r="L136" s="30" t="e">
        <f>SUMIF(#REF!,"수도",#REF!)</f>
        <v>#REF!</v>
      </c>
      <c r="M136" s="30" t="e">
        <f>SUMIF(#REF!,"수도",#REF!)</f>
        <v>#REF!</v>
      </c>
      <c r="N136" s="8" t="s">
        <v>26</v>
      </c>
      <c r="O136" s="31" t="e">
        <f>SUMIF(#REF!,"수도",#REF!)</f>
        <v>#REF!</v>
      </c>
      <c r="P136" s="31" t="e">
        <f>SUMIF(#REF!,"수도",#REF!)</f>
        <v>#REF!</v>
      </c>
      <c r="Q136" s="56" t="e">
        <f t="shared" si="5"/>
        <v>#REF!</v>
      </c>
    </row>
    <row r="137" spans="1:17" s="20" customFormat="1" ht="29.1" hidden="1" customHeight="1" x14ac:dyDescent="0.15">
      <c r="A137" s="54" t="s">
        <v>40</v>
      </c>
      <c r="B137" s="30" t="e">
        <f>SUMIF(#REF!,"공장",#REF!)</f>
        <v>#REF!</v>
      </c>
      <c r="C137" s="34" t="e">
        <f>SUMIF(#REF!,"공장",#REF!)</f>
        <v>#REF!</v>
      </c>
      <c r="D137" s="8" t="s">
        <v>26</v>
      </c>
      <c r="E137" s="31" t="e">
        <f>SUMIF(#REF!,"공장",#REF!)</f>
        <v>#REF!</v>
      </c>
      <c r="F137" s="35" t="e">
        <f>SUMIF(#REF!,"공장",#REF!)</f>
        <v>#REF!</v>
      </c>
      <c r="G137" s="30" t="e">
        <f>SUMIF(#REF!,"공장",#REF!)</f>
        <v>#REF!</v>
      </c>
      <c r="H137" s="30" t="e">
        <f>SUMIF(#REF!,"공장",#REF!)</f>
        <v>#REF!</v>
      </c>
      <c r="I137" s="8" t="s">
        <v>26</v>
      </c>
      <c r="J137" s="31" t="e">
        <f>SUMIF(#REF!,"공장",#REF!)</f>
        <v>#REF!</v>
      </c>
      <c r="K137" s="31" t="e">
        <f>SUMIF(#REF!,"공장",#REF!)</f>
        <v>#REF!</v>
      </c>
      <c r="L137" s="30" t="e">
        <f>SUMIF(#REF!,"공장",#REF!)</f>
        <v>#REF!</v>
      </c>
      <c r="M137" s="30" t="e">
        <f>SUMIF(#REF!,"공장",#REF!)</f>
        <v>#REF!</v>
      </c>
      <c r="N137" s="8" t="s">
        <v>26</v>
      </c>
      <c r="O137" s="31" t="e">
        <f>SUMIF(#REF!,"공장",#REF!)</f>
        <v>#REF!</v>
      </c>
      <c r="P137" s="31" t="e">
        <f>SUMIF(#REF!,"공장",#REF!)</f>
        <v>#REF!</v>
      </c>
      <c r="Q137" s="56" t="e">
        <f t="shared" si="5"/>
        <v>#REF!</v>
      </c>
    </row>
    <row r="138" spans="1:17" s="20" customFormat="1" ht="29.1" hidden="1" customHeight="1" x14ac:dyDescent="0.15">
      <c r="A138" s="55" t="s">
        <v>56</v>
      </c>
      <c r="B138" s="32" t="e">
        <f>SUMIF(#REF!,"기타",#REF!)</f>
        <v>#REF!</v>
      </c>
      <c r="C138" s="38" t="e">
        <f>SUMIF(#REF!,"기타",#REF!)</f>
        <v>#REF!</v>
      </c>
      <c r="D138" s="22" t="s">
        <v>26</v>
      </c>
      <c r="E138" s="33" t="e">
        <f>SUMIF(#REF!,"기타",#REF!)</f>
        <v>#REF!</v>
      </c>
      <c r="F138" s="39" t="e">
        <f>SUMIF(#REF!,"기타",#REF!)</f>
        <v>#REF!</v>
      </c>
      <c r="G138" s="32" t="e">
        <f>SUMIF(#REF!,"기타",#REF!)</f>
        <v>#REF!</v>
      </c>
      <c r="H138" s="32" t="e">
        <f>SUMIF(#REF!,"기타",#REF!)</f>
        <v>#REF!</v>
      </c>
      <c r="I138" s="22" t="s">
        <v>26</v>
      </c>
      <c r="J138" s="33" t="e">
        <f>SUMIF(#REF!,"기타",#REF!)</f>
        <v>#REF!</v>
      </c>
      <c r="K138" s="33" t="e">
        <f>SUMIF(#REF!,"기타",#REF!)</f>
        <v>#REF!</v>
      </c>
      <c r="L138" s="32" t="e">
        <f>SUMIF(#REF!,"기타",#REF!)</f>
        <v>#REF!</v>
      </c>
      <c r="M138" s="32" t="e">
        <f>SUMIF(#REF!,"기타",#REF!)</f>
        <v>#REF!</v>
      </c>
      <c r="N138" s="22" t="s">
        <v>26</v>
      </c>
      <c r="O138" s="33" t="e">
        <f>SUMIF(#REF!,"기타",#REF!)</f>
        <v>#REF!</v>
      </c>
      <c r="P138" s="33" t="e">
        <f>SUMIF(#REF!,"기타",#REF!)</f>
        <v>#REF!</v>
      </c>
      <c r="Q138" s="56" t="e">
        <f t="shared" si="5"/>
        <v>#REF!</v>
      </c>
    </row>
    <row r="139" spans="1:17" ht="24.95" hidden="1" customHeight="1" x14ac:dyDescent="0.15">
      <c r="A139" s="40" t="s">
        <v>65</v>
      </c>
      <c r="B139" s="1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s="20" customFormat="1" ht="20.100000000000001" hidden="1" customHeight="1" x14ac:dyDescent="0.15">
      <c r="A140" s="52"/>
      <c r="B140" s="5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53" t="s">
        <v>102</v>
      </c>
    </row>
    <row r="141" spans="1:17" s="20" customFormat="1" ht="20.100000000000001" hidden="1" customHeight="1" x14ac:dyDescent="0.15">
      <c r="A141" s="1064" t="s">
        <v>23</v>
      </c>
      <c r="B141" s="25" t="s">
        <v>24</v>
      </c>
      <c r="C141" s="25"/>
      <c r="D141" s="25"/>
      <c r="E141" s="25"/>
      <c r="F141" s="47"/>
      <c r="G141" s="25" t="s">
        <v>57</v>
      </c>
      <c r="H141" s="25"/>
      <c r="I141" s="25"/>
      <c r="J141" s="25"/>
      <c r="K141" s="47"/>
      <c r="L141" s="25" t="s">
        <v>41</v>
      </c>
      <c r="M141" s="25"/>
      <c r="N141" s="25"/>
      <c r="O141" s="25"/>
      <c r="P141" s="25"/>
      <c r="Q141" s="1067" t="s">
        <v>66</v>
      </c>
    </row>
    <row r="142" spans="1:17" s="20" customFormat="1" ht="20.100000000000001" hidden="1" customHeight="1" x14ac:dyDescent="0.15">
      <c r="A142" s="1065"/>
      <c r="B142" s="1070" t="s">
        <v>63</v>
      </c>
      <c r="C142" s="1071"/>
      <c r="D142" s="36" t="s">
        <v>26</v>
      </c>
      <c r="E142" s="1071" t="s">
        <v>43</v>
      </c>
      <c r="F142" s="1072"/>
      <c r="G142" s="1070" t="s">
        <v>63</v>
      </c>
      <c r="H142" s="1071"/>
      <c r="I142" s="36" t="s">
        <v>26</v>
      </c>
      <c r="J142" s="1071" t="s">
        <v>43</v>
      </c>
      <c r="K142" s="1072"/>
      <c r="L142" s="1070" t="s">
        <v>63</v>
      </c>
      <c r="M142" s="1072"/>
      <c r="N142" s="36" t="s">
        <v>26</v>
      </c>
      <c r="O142" s="1071" t="s">
        <v>43</v>
      </c>
      <c r="P142" s="1072"/>
      <c r="Q142" s="1068"/>
    </row>
    <row r="143" spans="1:17" s="20" customFormat="1" ht="20.100000000000001" hidden="1" customHeight="1" x14ac:dyDescent="0.15">
      <c r="A143" s="1066"/>
      <c r="B143" s="46" t="s">
        <v>61</v>
      </c>
      <c r="C143" s="46" t="s">
        <v>62</v>
      </c>
      <c r="D143" s="44" t="s">
        <v>26</v>
      </c>
      <c r="E143" s="44" t="s">
        <v>61</v>
      </c>
      <c r="F143" s="46" t="s">
        <v>62</v>
      </c>
      <c r="G143" s="46" t="s">
        <v>61</v>
      </c>
      <c r="H143" s="46" t="s">
        <v>62</v>
      </c>
      <c r="I143" s="44" t="s">
        <v>26</v>
      </c>
      <c r="J143" s="44" t="s">
        <v>61</v>
      </c>
      <c r="K143" s="46" t="s">
        <v>62</v>
      </c>
      <c r="L143" s="46" t="s">
        <v>61</v>
      </c>
      <c r="M143" s="46" t="s">
        <v>62</v>
      </c>
      <c r="N143" s="44" t="s">
        <v>26</v>
      </c>
      <c r="O143" s="44" t="s">
        <v>61</v>
      </c>
      <c r="P143" s="46" t="s">
        <v>62</v>
      </c>
      <c r="Q143" s="1069"/>
    </row>
    <row r="144" spans="1:17" s="20" customFormat="1" ht="27" hidden="1" customHeight="1" x14ac:dyDescent="0.15">
      <c r="A144" s="85" t="s">
        <v>24</v>
      </c>
      <c r="B144" s="27" t="e">
        <f>SUMIF(#REF!,"계",#REF!)</f>
        <v>#REF!</v>
      </c>
      <c r="C144" s="27" t="e">
        <f>SUMIF(#REF!,"계",#REF!)</f>
        <v>#REF!</v>
      </c>
      <c r="D144" s="28" t="s">
        <v>26</v>
      </c>
      <c r="E144" s="29" t="e">
        <f>SUMIF(#REF!,"계",#REF!)</f>
        <v>#REF!</v>
      </c>
      <c r="F144" s="29" t="e">
        <f>SUMIF(#REF!,"계",#REF!)</f>
        <v>#REF!</v>
      </c>
      <c r="G144" s="27" t="e">
        <f>SUMIF(#REF!,"계",#REF!)</f>
        <v>#REF!</v>
      </c>
      <c r="H144" s="27" t="e">
        <f>SUMIF(#REF!,"계",#REF!)</f>
        <v>#REF!</v>
      </c>
      <c r="I144" s="28" t="s">
        <v>26</v>
      </c>
      <c r="J144" s="29" t="e">
        <f>SUMIF(#REF!,"계",#REF!)</f>
        <v>#REF!</v>
      </c>
      <c r="K144" s="29" t="e">
        <f>SUMIF(#REF!,"계",#REF!)</f>
        <v>#REF!</v>
      </c>
      <c r="L144" s="27" t="e">
        <f>SUMIF(#REF!,"계",#REF!)</f>
        <v>#REF!</v>
      </c>
      <c r="M144" s="27" t="e">
        <f>SUMIF(#REF!,"계",#REF!)</f>
        <v>#REF!</v>
      </c>
      <c r="N144" s="28" t="s">
        <v>26</v>
      </c>
      <c r="O144" s="29" t="e">
        <f>SUMIF(#REF!,"계",#REF!)</f>
        <v>#REF!</v>
      </c>
      <c r="P144" s="29" t="e">
        <f>SUMIF(#REF!,"계",#REF!)</f>
        <v>#REF!</v>
      </c>
      <c r="Q144" s="26" t="e">
        <f>F144-E144</f>
        <v>#REF!</v>
      </c>
    </row>
    <row r="145" spans="1:17" s="20" customFormat="1" ht="27" hidden="1" customHeight="1" x14ac:dyDescent="0.15">
      <c r="A145" s="54" t="s">
        <v>27</v>
      </c>
      <c r="B145" s="30" t="e">
        <f>SUMIF(#REF!,"전",#REF!)</f>
        <v>#REF!</v>
      </c>
      <c r="C145" s="30" t="e">
        <f>SUMIF(#REF!,"전",#REF!)</f>
        <v>#REF!</v>
      </c>
      <c r="D145" s="8" t="s">
        <v>26</v>
      </c>
      <c r="E145" s="31" t="e">
        <f>SUMIF(#REF!,"전",#REF!)</f>
        <v>#REF!</v>
      </c>
      <c r="F145" s="31" t="e">
        <f>SUMIF(#REF!,"전",#REF!)</f>
        <v>#REF!</v>
      </c>
      <c r="G145" s="30" t="e">
        <f>SUMIF(#REF!,"전",#REF!)</f>
        <v>#REF!</v>
      </c>
      <c r="H145" s="30" t="e">
        <f>SUMIF(#REF!,"전",#REF!)</f>
        <v>#REF!</v>
      </c>
      <c r="I145" s="8" t="s">
        <v>26</v>
      </c>
      <c r="J145" s="31" t="e">
        <f>SUMIF(#REF!,"전",#REF!)</f>
        <v>#REF!</v>
      </c>
      <c r="K145" s="31" t="e">
        <f>SUMIF(#REF!,"전",#REF!)</f>
        <v>#REF!</v>
      </c>
      <c r="L145" s="30" t="e">
        <f>SUMIF(#REF!,"전",#REF!)</f>
        <v>#REF!</v>
      </c>
      <c r="M145" s="30" t="e">
        <f>SUMIF(#REF!,"전",#REF!)</f>
        <v>#REF!</v>
      </c>
      <c r="N145" s="8" t="s">
        <v>26</v>
      </c>
      <c r="O145" s="31" t="e">
        <f>SUMIF(#REF!,"전",#REF!)</f>
        <v>#REF!</v>
      </c>
      <c r="P145" s="31" t="e">
        <f>SUMIF(#REF!,"전",#REF!)</f>
        <v>#REF!</v>
      </c>
      <c r="Q145" s="21" t="e">
        <f t="shared" ref="Q145:Q161" si="6">F145-E145</f>
        <v>#REF!</v>
      </c>
    </row>
    <row r="146" spans="1:17" s="20" customFormat="1" ht="27" hidden="1" customHeight="1" x14ac:dyDescent="0.15">
      <c r="A146" s="54" t="s">
        <v>28</v>
      </c>
      <c r="B146" s="30" t="e">
        <f>SUMIF(#REF!,"답",#REF!)</f>
        <v>#REF!</v>
      </c>
      <c r="C146" s="30" t="e">
        <f>SUMIF(#REF!,"답",#REF!)</f>
        <v>#REF!</v>
      </c>
      <c r="D146" s="8" t="s">
        <v>26</v>
      </c>
      <c r="E146" s="31" t="e">
        <f>SUMIF(#REF!,"답",#REF!)</f>
        <v>#REF!</v>
      </c>
      <c r="F146" s="31" t="e">
        <f>SUMIF(#REF!,"답",#REF!)</f>
        <v>#REF!</v>
      </c>
      <c r="G146" s="30" t="e">
        <f>SUMIF(#REF!,"답",#REF!)</f>
        <v>#REF!</v>
      </c>
      <c r="H146" s="30" t="e">
        <f>SUMIF(#REF!,"답",#REF!)</f>
        <v>#REF!</v>
      </c>
      <c r="I146" s="8" t="s">
        <v>26</v>
      </c>
      <c r="J146" s="31" t="e">
        <f>SUMIF(#REF!,"답",#REF!)</f>
        <v>#REF!</v>
      </c>
      <c r="K146" s="31" t="e">
        <f>SUMIF(#REF!,"답",#REF!)</f>
        <v>#REF!</v>
      </c>
      <c r="L146" s="30" t="e">
        <f>SUMIF(#REF!,"답",#REF!)</f>
        <v>#REF!</v>
      </c>
      <c r="M146" s="30" t="e">
        <f>SUMIF(#REF!,"답",#REF!)</f>
        <v>#REF!</v>
      </c>
      <c r="N146" s="8" t="s">
        <v>26</v>
      </c>
      <c r="O146" s="31" t="e">
        <f>SUMIF(#REF!,"답",#REF!)</f>
        <v>#REF!</v>
      </c>
      <c r="P146" s="31" t="e">
        <f>SUMIF(#REF!,"답",#REF!)</f>
        <v>#REF!</v>
      </c>
      <c r="Q146" s="21" t="e">
        <f t="shared" si="6"/>
        <v>#REF!</v>
      </c>
    </row>
    <row r="147" spans="1:17" s="20" customFormat="1" ht="27" hidden="1" customHeight="1" x14ac:dyDescent="0.15">
      <c r="A147" s="54" t="s">
        <v>29</v>
      </c>
      <c r="B147" s="30" t="e">
        <f>SUMIF(#REF!,"대지",#REF!)</f>
        <v>#REF!</v>
      </c>
      <c r="C147" s="30" t="e">
        <f>SUMIF(#REF!,"대지",#REF!)</f>
        <v>#REF!</v>
      </c>
      <c r="D147" s="8" t="s">
        <v>26</v>
      </c>
      <c r="E147" s="31" t="e">
        <f>SUMIF(#REF!,"대지",#REF!)</f>
        <v>#REF!</v>
      </c>
      <c r="F147" s="31" t="e">
        <f>SUMIF(#REF!,"대지",#REF!)</f>
        <v>#REF!</v>
      </c>
      <c r="G147" s="30" t="e">
        <f>SUMIF(#REF!,"대지",#REF!)</f>
        <v>#REF!</v>
      </c>
      <c r="H147" s="30" t="e">
        <f>SUMIF(#REF!,"대지",#REF!)</f>
        <v>#REF!</v>
      </c>
      <c r="I147" s="8" t="s">
        <v>26</v>
      </c>
      <c r="J147" s="31" t="e">
        <f>SUMIF(#REF!,"대지",#REF!)</f>
        <v>#REF!</v>
      </c>
      <c r="K147" s="31" t="e">
        <f>SUMIF(#REF!,"대지",#REF!)</f>
        <v>#REF!</v>
      </c>
      <c r="L147" s="30" t="e">
        <f>SUMIF(#REF!,"대지",#REF!)</f>
        <v>#REF!</v>
      </c>
      <c r="M147" s="30" t="e">
        <f>SUMIF(#REF!,"대지",#REF!)</f>
        <v>#REF!</v>
      </c>
      <c r="N147" s="8" t="s">
        <v>26</v>
      </c>
      <c r="O147" s="31" t="e">
        <f>SUMIF(#REF!,"대지",#REF!)</f>
        <v>#REF!</v>
      </c>
      <c r="P147" s="31" t="e">
        <f>SUMIF(#REF!,"대지",#REF!)</f>
        <v>#REF!</v>
      </c>
      <c r="Q147" s="21" t="e">
        <f t="shared" si="6"/>
        <v>#REF!</v>
      </c>
    </row>
    <row r="148" spans="1:17" s="20" customFormat="1" ht="27" hidden="1" customHeight="1" x14ac:dyDescent="0.15">
      <c r="A148" s="54" t="s">
        <v>30</v>
      </c>
      <c r="B148" s="30" t="e">
        <f>SUMIF(#REF!,"임야",#REF!)</f>
        <v>#REF!</v>
      </c>
      <c r="C148" s="30" t="e">
        <f>SUMIF(#REF!,"임야",#REF!)</f>
        <v>#REF!</v>
      </c>
      <c r="D148" s="8" t="s">
        <v>26</v>
      </c>
      <c r="E148" s="31" t="e">
        <f>SUMIF(#REF!,"임야",#REF!)</f>
        <v>#REF!</v>
      </c>
      <c r="F148" s="31" t="e">
        <f>SUMIF(#REF!,"임야",#REF!)</f>
        <v>#REF!</v>
      </c>
      <c r="G148" s="30" t="e">
        <f>SUMIF(#REF!,"임야",#REF!)</f>
        <v>#REF!</v>
      </c>
      <c r="H148" s="30" t="e">
        <f>SUMIF(#REF!,"임야",#REF!)</f>
        <v>#REF!</v>
      </c>
      <c r="I148" s="8" t="s">
        <v>26</v>
      </c>
      <c r="J148" s="31" t="e">
        <f>SUMIF(#REF!,"임야",#REF!)</f>
        <v>#REF!</v>
      </c>
      <c r="K148" s="31" t="e">
        <f>SUMIF(#REF!,"임야",#REF!)</f>
        <v>#REF!</v>
      </c>
      <c r="L148" s="30" t="e">
        <f>SUMIF(#REF!,"임야",#REF!)</f>
        <v>#REF!</v>
      </c>
      <c r="M148" s="30" t="e">
        <f>SUMIF(#REF!,"임야",#REF!)</f>
        <v>#REF!</v>
      </c>
      <c r="N148" s="8" t="s">
        <v>26</v>
      </c>
      <c r="O148" s="31" t="e">
        <f>SUMIF(#REF!,"임야",#REF!)</f>
        <v>#REF!</v>
      </c>
      <c r="P148" s="31" t="e">
        <f>SUMIF(#REF!,"임야",#REF!)</f>
        <v>#REF!</v>
      </c>
      <c r="Q148" s="21" t="e">
        <f t="shared" si="6"/>
        <v>#REF!</v>
      </c>
    </row>
    <row r="149" spans="1:17" s="20" customFormat="1" ht="27" hidden="1" customHeight="1" x14ac:dyDescent="0.15">
      <c r="A149" s="54" t="s">
        <v>31</v>
      </c>
      <c r="B149" s="30" t="e">
        <f>SUMIF(#REF!,"도로",#REF!)</f>
        <v>#REF!</v>
      </c>
      <c r="C149" s="30" t="e">
        <f>SUMIF(#REF!,"도로",#REF!)</f>
        <v>#REF!</v>
      </c>
      <c r="D149" s="8" t="s">
        <v>26</v>
      </c>
      <c r="E149" s="31" t="e">
        <f>SUMIF(#REF!,"도로",#REF!)</f>
        <v>#REF!</v>
      </c>
      <c r="F149" s="31" t="e">
        <f>SUMIF(#REF!,"도로",#REF!)</f>
        <v>#REF!</v>
      </c>
      <c r="G149" s="30" t="e">
        <f>SUMIF(#REF!,"도로",#REF!)</f>
        <v>#REF!</v>
      </c>
      <c r="H149" s="30" t="e">
        <f>SUMIF(#REF!,"도로",#REF!)</f>
        <v>#REF!</v>
      </c>
      <c r="I149" s="8" t="s">
        <v>26</v>
      </c>
      <c r="J149" s="31" t="e">
        <f>SUMIF(#REF!,"도로",#REF!)</f>
        <v>#REF!</v>
      </c>
      <c r="K149" s="31" t="e">
        <f>SUMIF(#REF!,"도로",#REF!)</f>
        <v>#REF!</v>
      </c>
      <c r="L149" s="30" t="e">
        <f>SUMIF(#REF!,"도로",#REF!)</f>
        <v>#REF!</v>
      </c>
      <c r="M149" s="30" t="e">
        <f>SUMIF(#REF!,"도로",#REF!)</f>
        <v>#REF!</v>
      </c>
      <c r="N149" s="8" t="s">
        <v>26</v>
      </c>
      <c r="O149" s="31" t="e">
        <f>SUMIF(#REF!,"도로",#REF!)</f>
        <v>#REF!</v>
      </c>
      <c r="P149" s="31" t="e">
        <f>SUMIF(#REF!,"도로",#REF!)</f>
        <v>#REF!</v>
      </c>
      <c r="Q149" s="21" t="e">
        <f t="shared" si="6"/>
        <v>#REF!</v>
      </c>
    </row>
    <row r="150" spans="1:17" s="20" customFormat="1" ht="27" hidden="1" customHeight="1" x14ac:dyDescent="0.15">
      <c r="A150" s="54" t="s">
        <v>32</v>
      </c>
      <c r="B150" s="30" t="e">
        <f>SUMIF(#REF!,"하천",#REF!)</f>
        <v>#REF!</v>
      </c>
      <c r="C150" s="30" t="e">
        <f>SUMIF(#REF!,"하천",#REF!)</f>
        <v>#REF!</v>
      </c>
      <c r="D150" s="8" t="s">
        <v>26</v>
      </c>
      <c r="E150" s="31" t="e">
        <f>SUMIF(#REF!,"하천",#REF!)</f>
        <v>#REF!</v>
      </c>
      <c r="F150" s="31" t="e">
        <f>SUMIF(#REF!,"하천",#REF!)</f>
        <v>#REF!</v>
      </c>
      <c r="G150" s="30" t="e">
        <f>SUMIF(#REF!,"하천",#REF!)</f>
        <v>#REF!</v>
      </c>
      <c r="H150" s="30" t="e">
        <f>SUMIF(#REF!,"하천",#REF!)</f>
        <v>#REF!</v>
      </c>
      <c r="I150" s="8" t="s">
        <v>26</v>
      </c>
      <c r="J150" s="31" t="e">
        <f>SUMIF(#REF!,"하천",#REF!)</f>
        <v>#REF!</v>
      </c>
      <c r="K150" s="31" t="e">
        <f>SUMIF(#REF!,"하천",#REF!)</f>
        <v>#REF!</v>
      </c>
      <c r="L150" s="30" t="e">
        <f>SUMIF(#REF!,"하천",#REF!)</f>
        <v>#REF!</v>
      </c>
      <c r="M150" s="30" t="e">
        <f>SUMIF(#REF!,"하천",#REF!)</f>
        <v>#REF!</v>
      </c>
      <c r="N150" s="8" t="s">
        <v>26</v>
      </c>
      <c r="O150" s="31" t="e">
        <f>SUMIF(#REF!,"하천",#REF!)</f>
        <v>#REF!</v>
      </c>
      <c r="P150" s="31" t="e">
        <f>SUMIF(#REF!,"하천",#REF!)</f>
        <v>#REF!</v>
      </c>
      <c r="Q150" s="21" t="e">
        <f t="shared" si="6"/>
        <v>#REF!</v>
      </c>
    </row>
    <row r="151" spans="1:17" s="20" customFormat="1" ht="27" hidden="1" customHeight="1" x14ac:dyDescent="0.15">
      <c r="A151" s="54" t="s">
        <v>33</v>
      </c>
      <c r="B151" s="30" t="e">
        <f>SUMIF(#REF!,"구거",#REF!)</f>
        <v>#REF!</v>
      </c>
      <c r="C151" s="30" t="e">
        <f>SUMIF(#REF!,"구거",#REF!)</f>
        <v>#REF!</v>
      </c>
      <c r="D151" s="8" t="s">
        <v>26</v>
      </c>
      <c r="E151" s="31" t="e">
        <f>SUMIF(#REF!,"구거",#REF!)</f>
        <v>#REF!</v>
      </c>
      <c r="F151" s="31" t="e">
        <f>SUMIF(#REF!,"구거",#REF!)</f>
        <v>#REF!</v>
      </c>
      <c r="G151" s="30" t="e">
        <f>SUMIF(#REF!,"구거",#REF!)</f>
        <v>#REF!</v>
      </c>
      <c r="H151" s="30" t="e">
        <f>SUMIF(#REF!,"구거",#REF!)</f>
        <v>#REF!</v>
      </c>
      <c r="I151" s="8" t="s">
        <v>26</v>
      </c>
      <c r="J151" s="31" t="e">
        <f>SUMIF(#REF!,"구거",#REF!)</f>
        <v>#REF!</v>
      </c>
      <c r="K151" s="31" t="e">
        <f>SUMIF(#REF!,"구거",#REF!)</f>
        <v>#REF!</v>
      </c>
      <c r="L151" s="30" t="e">
        <f>SUMIF(#REF!,"구거",#REF!)</f>
        <v>#REF!</v>
      </c>
      <c r="M151" s="30" t="e">
        <f>SUMIF(#REF!,"구거",#REF!)</f>
        <v>#REF!</v>
      </c>
      <c r="N151" s="8" t="s">
        <v>26</v>
      </c>
      <c r="O151" s="31" t="e">
        <f>SUMIF(#REF!,"구거",#REF!)</f>
        <v>#REF!</v>
      </c>
      <c r="P151" s="31" t="e">
        <f>SUMIF(#REF!,"구거",#REF!)</f>
        <v>#REF!</v>
      </c>
      <c r="Q151" s="21" t="e">
        <f t="shared" si="6"/>
        <v>#REF!</v>
      </c>
    </row>
    <row r="152" spans="1:17" s="20" customFormat="1" ht="29.1" hidden="1" customHeight="1" x14ac:dyDescent="0.15">
      <c r="A152" s="54" t="s">
        <v>34</v>
      </c>
      <c r="B152" s="30" t="e">
        <f>SUMIF(#REF!,"제방",#REF!)</f>
        <v>#REF!</v>
      </c>
      <c r="C152" s="34" t="e">
        <f>SUMIF(#REF!,"제방",#REF!)</f>
        <v>#REF!</v>
      </c>
      <c r="D152" s="8" t="s">
        <v>26</v>
      </c>
      <c r="E152" s="31" t="e">
        <f>SUMIF(#REF!,"제방",#REF!)</f>
        <v>#REF!</v>
      </c>
      <c r="F152" s="35" t="e">
        <f>SUMIF(#REF!,"제방",#REF!)</f>
        <v>#REF!</v>
      </c>
      <c r="G152" s="30" t="e">
        <f>SUMIF(#REF!,"제방",#REF!)</f>
        <v>#REF!</v>
      </c>
      <c r="H152" s="30" t="e">
        <f>SUMIF(#REF!,"제방",#REF!)</f>
        <v>#REF!</v>
      </c>
      <c r="I152" s="8" t="s">
        <v>26</v>
      </c>
      <c r="J152" s="31" t="e">
        <f>SUMIF(#REF!,"제방",#REF!)</f>
        <v>#REF!</v>
      </c>
      <c r="K152" s="31" t="e">
        <f>SUMIF(#REF!,"제방",#REF!)</f>
        <v>#REF!</v>
      </c>
      <c r="L152" s="30" t="e">
        <f>SUMIF(#REF!,"제방",#REF!)</f>
        <v>#REF!</v>
      </c>
      <c r="M152" s="30" t="e">
        <f>SUMIF(#REF!,"제방",#REF!)</f>
        <v>#REF!</v>
      </c>
      <c r="N152" s="8" t="s">
        <v>26</v>
      </c>
      <c r="O152" s="31" t="e">
        <f>SUMIF(#REF!,"제방",#REF!)</f>
        <v>#REF!</v>
      </c>
      <c r="P152" s="31" t="e">
        <f>SUMIF(#REF!,"제방",#REF!)</f>
        <v>#REF!</v>
      </c>
      <c r="Q152" s="21" t="e">
        <f t="shared" si="6"/>
        <v>#REF!</v>
      </c>
    </row>
    <row r="153" spans="1:17" s="20" customFormat="1" ht="29.1" hidden="1" customHeight="1" x14ac:dyDescent="0.15">
      <c r="A153" s="54" t="s">
        <v>52</v>
      </c>
      <c r="B153" s="30" t="e">
        <f>SUMIF(#REF!,"유지",#REF!)</f>
        <v>#REF!</v>
      </c>
      <c r="C153" s="34" t="e">
        <f>SUMIF(#REF!,"유지",#REF!)</f>
        <v>#REF!</v>
      </c>
      <c r="D153" s="8" t="s">
        <v>26</v>
      </c>
      <c r="E153" s="31" t="e">
        <f>SUMIF(#REF!,"유지",#REF!)</f>
        <v>#REF!</v>
      </c>
      <c r="F153" s="35" t="e">
        <f>SUMIF(#REF!,"유지",#REF!)</f>
        <v>#REF!</v>
      </c>
      <c r="G153" s="30" t="e">
        <f>SUMIF(#REF!,"유지",#REF!)</f>
        <v>#REF!</v>
      </c>
      <c r="H153" s="30" t="e">
        <f>SUMIF(#REF!,"유지",#REF!)</f>
        <v>#REF!</v>
      </c>
      <c r="I153" s="8" t="s">
        <v>26</v>
      </c>
      <c r="J153" s="31" t="e">
        <f>SUMIF(#REF!,"유지",#REF!)</f>
        <v>#REF!</v>
      </c>
      <c r="K153" s="31" t="e">
        <f>SUMIF(#REF!,"유지",#REF!)</f>
        <v>#REF!</v>
      </c>
      <c r="L153" s="30" t="e">
        <f>SUMIF(#REF!,"유지",#REF!)</f>
        <v>#REF!</v>
      </c>
      <c r="M153" s="30" t="e">
        <f>SUMIF(#REF!,"유지",#REF!)</f>
        <v>#REF!</v>
      </c>
      <c r="N153" s="8" t="s">
        <v>26</v>
      </c>
      <c r="O153" s="31" t="e">
        <f>SUMIF(#REF!,"유지",#REF!)</f>
        <v>#REF!</v>
      </c>
      <c r="P153" s="31" t="e">
        <f>SUMIF(#REF!,"유지",#REF!)</f>
        <v>#REF!</v>
      </c>
      <c r="Q153" s="21" t="e">
        <f t="shared" si="6"/>
        <v>#REF!</v>
      </c>
    </row>
    <row r="154" spans="1:17" s="20" customFormat="1" ht="27" hidden="1" customHeight="1" x14ac:dyDescent="0.15">
      <c r="A154" s="54" t="s">
        <v>35</v>
      </c>
      <c r="B154" s="30" t="e">
        <f>SUMIF(#REF!,"잡종지",#REF!)</f>
        <v>#REF!</v>
      </c>
      <c r="C154" s="34" t="e">
        <f>SUMIF(#REF!,"잡종지",#REF!)</f>
        <v>#REF!</v>
      </c>
      <c r="D154" s="8" t="s">
        <v>26</v>
      </c>
      <c r="E154" s="31" t="e">
        <f>SUMIF(#REF!,"잡종지",#REF!)</f>
        <v>#REF!</v>
      </c>
      <c r="F154" s="35" t="e">
        <f>SUMIF(#REF!,"잡종지",#REF!)</f>
        <v>#REF!</v>
      </c>
      <c r="G154" s="30" t="e">
        <f>SUMIF(#REF!,"잡종지",#REF!)</f>
        <v>#REF!</v>
      </c>
      <c r="H154" s="30" t="e">
        <f>SUMIF(#REF!,"잡종지",#REF!)</f>
        <v>#REF!</v>
      </c>
      <c r="I154" s="8" t="s">
        <v>26</v>
      </c>
      <c r="J154" s="31" t="e">
        <f>SUMIF(#REF!,"잡종지",#REF!)</f>
        <v>#REF!</v>
      </c>
      <c r="K154" s="31" t="e">
        <f>SUMIF(#REF!,"잡종지",#REF!)</f>
        <v>#REF!</v>
      </c>
      <c r="L154" s="30" t="e">
        <f>SUMIF(#REF!,"잡종지",#REF!)</f>
        <v>#REF!</v>
      </c>
      <c r="M154" s="30" t="e">
        <f>SUMIF(#REF!,"잡종지",#REF!)</f>
        <v>#REF!</v>
      </c>
      <c r="N154" s="8" t="s">
        <v>26</v>
      </c>
      <c r="O154" s="31" t="e">
        <f>SUMIF(#REF!,"잡종지",#REF!)</f>
        <v>#REF!</v>
      </c>
      <c r="P154" s="31" t="e">
        <f>SUMIF(#REF!,"잡종지",#REF!)</f>
        <v>#REF!</v>
      </c>
      <c r="Q154" s="56" t="e">
        <f t="shared" si="6"/>
        <v>#REF!</v>
      </c>
    </row>
    <row r="155" spans="1:17" s="20" customFormat="1" ht="27" hidden="1" customHeight="1" x14ac:dyDescent="0.15">
      <c r="A155" s="54" t="s">
        <v>36</v>
      </c>
      <c r="B155" s="30" t="e">
        <f>SUMIF(#REF!,"묘지",#REF!)</f>
        <v>#REF!</v>
      </c>
      <c r="C155" s="34" t="e">
        <f>SUMIF(#REF!,"묘지",#REF!)</f>
        <v>#REF!</v>
      </c>
      <c r="D155" s="8" t="s">
        <v>26</v>
      </c>
      <c r="E155" s="31" t="e">
        <f>SUMIF(#REF!,"묘지",#REF!)</f>
        <v>#REF!</v>
      </c>
      <c r="F155" s="35" t="e">
        <f>SUMIF(#REF!,"묘지",#REF!)</f>
        <v>#REF!</v>
      </c>
      <c r="G155" s="30" t="e">
        <f>SUMIF(#REF!,"묘지",#REF!)</f>
        <v>#REF!</v>
      </c>
      <c r="H155" s="30" t="e">
        <f>SUMIF(#REF!,"묘지",#REF!)</f>
        <v>#REF!</v>
      </c>
      <c r="I155" s="8" t="s">
        <v>26</v>
      </c>
      <c r="J155" s="31" t="e">
        <f>SUMIF(#REF!,"묘지",#REF!)</f>
        <v>#REF!</v>
      </c>
      <c r="K155" s="31" t="e">
        <f>SUMIF(#REF!,"묘지",#REF!)</f>
        <v>#REF!</v>
      </c>
      <c r="L155" s="30" t="e">
        <f>SUMIF(#REF!,"묘지",#REF!)</f>
        <v>#REF!</v>
      </c>
      <c r="M155" s="30" t="e">
        <f>SUMIF(#REF!,"묘지",#REF!)</f>
        <v>#REF!</v>
      </c>
      <c r="N155" s="8" t="s">
        <v>26</v>
      </c>
      <c r="O155" s="31" t="e">
        <f>SUMIF(#REF!,"묘지",#REF!)</f>
        <v>#REF!</v>
      </c>
      <c r="P155" s="31" t="e">
        <f>SUMIF(#REF!,"묘지",#REF!)</f>
        <v>#REF!</v>
      </c>
      <c r="Q155" s="56" t="e">
        <f t="shared" si="6"/>
        <v>#REF!</v>
      </c>
    </row>
    <row r="156" spans="1:17" s="20" customFormat="1" ht="27" hidden="1" customHeight="1" x14ac:dyDescent="0.15">
      <c r="A156" s="54" t="s">
        <v>53</v>
      </c>
      <c r="B156" s="30" t="e">
        <f>SUMIF(#REF!,"과수원",#REF!)</f>
        <v>#REF!</v>
      </c>
      <c r="C156" s="34" t="e">
        <f>SUMIF(#REF!,"과수원",#REF!)</f>
        <v>#REF!</v>
      </c>
      <c r="D156" s="8" t="s">
        <v>26</v>
      </c>
      <c r="E156" s="31" t="e">
        <f>SUMIF(#REF!,"과수원",#REF!)</f>
        <v>#REF!</v>
      </c>
      <c r="F156" s="35" t="e">
        <f>SUMIF(#REF!,"과수원",#REF!)</f>
        <v>#REF!</v>
      </c>
      <c r="G156" s="30" t="e">
        <f>SUMIF(#REF!,"과수원",#REF!)</f>
        <v>#REF!</v>
      </c>
      <c r="H156" s="30" t="e">
        <f>SUMIF(#REF!,"과수원",#REF!)</f>
        <v>#REF!</v>
      </c>
      <c r="I156" s="8" t="s">
        <v>26</v>
      </c>
      <c r="J156" s="31" t="e">
        <f>SUMIF(#REF!,"과수원",#REF!)</f>
        <v>#REF!</v>
      </c>
      <c r="K156" s="31" t="e">
        <f>SUMIF(#REF!,"과수원",#REF!)</f>
        <v>#REF!</v>
      </c>
      <c r="L156" s="30" t="e">
        <f>SUMIF(#REF!,"과수원",#REF!)</f>
        <v>#REF!</v>
      </c>
      <c r="M156" s="30" t="e">
        <f>SUMIF(#REF!,"과수원",#REF!)</f>
        <v>#REF!</v>
      </c>
      <c r="N156" s="8" t="s">
        <v>26</v>
      </c>
      <c r="O156" s="31" t="e">
        <f>SUMIF(#REF!,"과수원",#REF!)</f>
        <v>#REF!</v>
      </c>
      <c r="P156" s="31" t="e">
        <f>SUMIF(#REF!,"과수원",#REF!)</f>
        <v>#REF!</v>
      </c>
      <c r="Q156" s="56" t="e">
        <f t="shared" si="6"/>
        <v>#REF!</v>
      </c>
    </row>
    <row r="157" spans="1:17" s="20" customFormat="1" ht="27" hidden="1" customHeight="1" x14ac:dyDescent="0.15">
      <c r="A157" s="54" t="s">
        <v>54</v>
      </c>
      <c r="B157" s="30" t="e">
        <f>SUMIF(#REF!,"철도",#REF!)</f>
        <v>#REF!</v>
      </c>
      <c r="C157" s="34" t="e">
        <f>SUMIF(#REF!,"철도",#REF!)</f>
        <v>#REF!</v>
      </c>
      <c r="D157" s="8" t="s">
        <v>26</v>
      </c>
      <c r="E157" s="31" t="e">
        <f>SUMIF(#REF!,"철도",#REF!)</f>
        <v>#REF!</v>
      </c>
      <c r="F157" s="35" t="e">
        <f>SUMIF(#REF!,"철도",#REF!)</f>
        <v>#REF!</v>
      </c>
      <c r="G157" s="30" t="e">
        <f>SUMIF(#REF!,"철도",#REF!)</f>
        <v>#REF!</v>
      </c>
      <c r="H157" s="30" t="e">
        <f>SUMIF(#REF!,"철도",#REF!)</f>
        <v>#REF!</v>
      </c>
      <c r="I157" s="8" t="s">
        <v>26</v>
      </c>
      <c r="J157" s="31" t="e">
        <f>SUMIF(#REF!,"철도",#REF!)</f>
        <v>#REF!</v>
      </c>
      <c r="K157" s="31" t="e">
        <f>SUMIF(#REF!,"철도",#REF!)</f>
        <v>#REF!</v>
      </c>
      <c r="L157" s="30" t="e">
        <f>SUMIF(#REF!,"철도",#REF!)</f>
        <v>#REF!</v>
      </c>
      <c r="M157" s="30" t="e">
        <f>SUMIF(#REF!,"철도",#REF!)</f>
        <v>#REF!</v>
      </c>
      <c r="N157" s="8" t="s">
        <v>26</v>
      </c>
      <c r="O157" s="31" t="e">
        <f>SUMIF(#REF!,"철도",#REF!)</f>
        <v>#REF!</v>
      </c>
      <c r="P157" s="31" t="e">
        <f>SUMIF(#REF!,"철도",#REF!)</f>
        <v>#REF!</v>
      </c>
      <c r="Q157" s="56" t="e">
        <f t="shared" si="6"/>
        <v>#REF!</v>
      </c>
    </row>
    <row r="158" spans="1:17" s="20" customFormat="1" ht="29.1" hidden="1" customHeight="1" x14ac:dyDescent="0.15">
      <c r="A158" s="54" t="s">
        <v>38</v>
      </c>
      <c r="B158" s="30" t="e">
        <f>SUMIF(#REF!,"학교용지",#REF!)</f>
        <v>#REF!</v>
      </c>
      <c r="C158" s="34" t="e">
        <f>SUMIF(#REF!,"학교용지",#REF!)</f>
        <v>#REF!</v>
      </c>
      <c r="D158" s="8" t="s">
        <v>26</v>
      </c>
      <c r="E158" s="31" t="e">
        <f>SUMIF(#REF!,"학교용지",#REF!)</f>
        <v>#REF!</v>
      </c>
      <c r="F158" s="35" t="e">
        <f>SUMIF(#REF!,"학교용지",#REF!)</f>
        <v>#REF!</v>
      </c>
      <c r="G158" s="30" t="e">
        <f>SUMIF(#REF!,"학교용지",#REF!)</f>
        <v>#REF!</v>
      </c>
      <c r="H158" s="30" t="e">
        <f>SUMIF(#REF!,"학교용지",#REF!)</f>
        <v>#REF!</v>
      </c>
      <c r="I158" s="8" t="s">
        <v>26</v>
      </c>
      <c r="J158" s="31" t="e">
        <f>SUMIF(#REF!,"학교용지",#REF!)</f>
        <v>#REF!</v>
      </c>
      <c r="K158" s="31" t="e">
        <f>SUMIF(#REF!,"학교용지",#REF!)</f>
        <v>#REF!</v>
      </c>
      <c r="L158" s="30" t="e">
        <f>SUMIF(#REF!,"학교용지",#REF!)</f>
        <v>#REF!</v>
      </c>
      <c r="M158" s="30" t="e">
        <f>SUMIF(#REF!,"학교용지",#REF!)</f>
        <v>#REF!</v>
      </c>
      <c r="N158" s="8" t="s">
        <v>26</v>
      </c>
      <c r="O158" s="31" t="e">
        <f>SUMIF(#REF!,"학교용지",#REF!)</f>
        <v>#REF!</v>
      </c>
      <c r="P158" s="31" t="e">
        <f>SUMIF(#REF!,"학교용지",#REF!)</f>
        <v>#REF!</v>
      </c>
      <c r="Q158" s="56" t="e">
        <f t="shared" si="6"/>
        <v>#REF!</v>
      </c>
    </row>
    <row r="159" spans="1:17" s="20" customFormat="1" ht="29.1" hidden="1" customHeight="1" x14ac:dyDescent="0.15">
      <c r="A159" s="54" t="s">
        <v>55</v>
      </c>
      <c r="B159" s="30" t="e">
        <f>SUMIF(#REF!,"수도",#REF!)</f>
        <v>#REF!</v>
      </c>
      <c r="C159" s="34" t="e">
        <f>SUMIF(#REF!,"수도",#REF!)</f>
        <v>#REF!</v>
      </c>
      <c r="D159" s="8" t="s">
        <v>26</v>
      </c>
      <c r="E159" s="31" t="e">
        <f>SUMIF(#REF!,"수도",#REF!)</f>
        <v>#REF!</v>
      </c>
      <c r="F159" s="35" t="e">
        <f>SUMIF(#REF!,"수도",#REF!)</f>
        <v>#REF!</v>
      </c>
      <c r="G159" s="30" t="e">
        <f>SUMIF(#REF!,"수도",#REF!)</f>
        <v>#REF!</v>
      </c>
      <c r="H159" s="30" t="e">
        <f>SUMIF(#REF!,"수도",#REF!)</f>
        <v>#REF!</v>
      </c>
      <c r="I159" s="8" t="s">
        <v>26</v>
      </c>
      <c r="J159" s="31" t="e">
        <f>SUMIF(#REF!,"수도",#REF!)</f>
        <v>#REF!</v>
      </c>
      <c r="K159" s="31" t="e">
        <f>SUMIF(#REF!,"수도",#REF!)</f>
        <v>#REF!</v>
      </c>
      <c r="L159" s="30" t="e">
        <f>SUMIF(#REF!,"수도",#REF!)</f>
        <v>#REF!</v>
      </c>
      <c r="M159" s="30" t="e">
        <f>SUMIF(#REF!,"수도",#REF!)</f>
        <v>#REF!</v>
      </c>
      <c r="N159" s="8" t="s">
        <v>26</v>
      </c>
      <c r="O159" s="31" t="e">
        <f>SUMIF(#REF!,"수도",#REF!)</f>
        <v>#REF!</v>
      </c>
      <c r="P159" s="31" t="e">
        <f>SUMIF(#REF!,"수도",#REF!)</f>
        <v>#REF!</v>
      </c>
      <c r="Q159" s="56" t="e">
        <f t="shared" si="6"/>
        <v>#REF!</v>
      </c>
    </row>
    <row r="160" spans="1:17" s="20" customFormat="1" ht="29.1" hidden="1" customHeight="1" x14ac:dyDescent="0.15">
      <c r="A160" s="5" t="s">
        <v>40</v>
      </c>
      <c r="B160" s="30" t="e">
        <f>SUMIF(#REF!,"공장",#REF!)</f>
        <v>#REF!</v>
      </c>
      <c r="C160" s="34" t="e">
        <f>SUMIF(#REF!,"공장",#REF!)</f>
        <v>#REF!</v>
      </c>
      <c r="D160" s="8" t="s">
        <v>26</v>
      </c>
      <c r="E160" s="31" t="e">
        <f>SUMIF(#REF!,"공장",#REF!)</f>
        <v>#REF!</v>
      </c>
      <c r="F160" s="35" t="e">
        <f>SUMIF(#REF!,"공장",#REF!)</f>
        <v>#REF!</v>
      </c>
      <c r="G160" s="30" t="e">
        <f>SUMIF(#REF!,"공장",#REF!)</f>
        <v>#REF!</v>
      </c>
      <c r="H160" s="30" t="e">
        <f>SUMIF(#REF!,"공장",#REF!)</f>
        <v>#REF!</v>
      </c>
      <c r="I160" s="8" t="s">
        <v>26</v>
      </c>
      <c r="J160" s="31" t="e">
        <f>SUMIF(#REF!,"공장",#REF!)</f>
        <v>#REF!</v>
      </c>
      <c r="K160" s="31" t="e">
        <f>SUMIF(#REF!,"공장",#REF!)</f>
        <v>#REF!</v>
      </c>
      <c r="L160" s="30" t="e">
        <f>SUMIF(#REF!,"공장",#REF!)</f>
        <v>#REF!</v>
      </c>
      <c r="M160" s="30" t="e">
        <f>SUMIF(#REF!,"공장",#REF!)</f>
        <v>#REF!</v>
      </c>
      <c r="N160" s="8" t="s">
        <v>26</v>
      </c>
      <c r="O160" s="31" t="e">
        <f>SUMIF(#REF!,"공장",#REF!)</f>
        <v>#REF!</v>
      </c>
      <c r="P160" s="31" t="e">
        <f>SUMIF(#REF!,"공장",#REF!)</f>
        <v>#REF!</v>
      </c>
      <c r="Q160" s="56" t="e">
        <f t="shared" si="6"/>
        <v>#REF!</v>
      </c>
    </row>
    <row r="161" spans="1:17" s="20" customFormat="1" ht="29.1" hidden="1" customHeight="1" x14ac:dyDescent="0.15">
      <c r="A161" s="6" t="s">
        <v>56</v>
      </c>
      <c r="B161" s="32" t="e">
        <f>SUMIF(#REF!,"기타",#REF!)</f>
        <v>#REF!</v>
      </c>
      <c r="C161" s="38" t="e">
        <f>SUMIF(#REF!,"기타",#REF!)</f>
        <v>#REF!</v>
      </c>
      <c r="D161" s="22" t="s">
        <v>26</v>
      </c>
      <c r="E161" s="33" t="e">
        <f>SUMIF(#REF!,"기타",#REF!)</f>
        <v>#REF!</v>
      </c>
      <c r="F161" s="39" t="e">
        <f>SUMIF(#REF!,"기타",#REF!)</f>
        <v>#REF!</v>
      </c>
      <c r="G161" s="32" t="e">
        <f>SUMIF(#REF!,"기타",#REF!)</f>
        <v>#REF!</v>
      </c>
      <c r="H161" s="32" t="e">
        <f>SUMIF(#REF!,"기타",#REF!)</f>
        <v>#REF!</v>
      </c>
      <c r="I161" s="22" t="s">
        <v>26</v>
      </c>
      <c r="J161" s="33" t="e">
        <f>SUMIF(#REF!,"기타",#REF!)</f>
        <v>#REF!</v>
      </c>
      <c r="K161" s="33" t="e">
        <f>SUMIF(#REF!,"기타",#REF!)</f>
        <v>#REF!</v>
      </c>
      <c r="L161" s="32" t="e">
        <f>SUMIF(#REF!,"기타",#REF!)</f>
        <v>#REF!</v>
      </c>
      <c r="M161" s="32" t="e">
        <f>SUMIF(#REF!,"기타",#REF!)</f>
        <v>#REF!</v>
      </c>
      <c r="N161" s="22" t="s">
        <v>26</v>
      </c>
      <c r="O161" s="33" t="e">
        <f>SUMIF(#REF!,"기타",#REF!)</f>
        <v>#REF!</v>
      </c>
      <c r="P161" s="33" t="e">
        <f>SUMIF(#REF!,"기타",#REF!)</f>
        <v>#REF!</v>
      </c>
      <c r="Q161" s="81" t="e">
        <f t="shared" si="6"/>
        <v>#REF!</v>
      </c>
    </row>
    <row r="162" spans="1:17" ht="24.95" hidden="1" customHeight="1" x14ac:dyDescent="0.15">
      <c r="A162" s="40" t="s">
        <v>65</v>
      </c>
      <c r="B162" s="1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s="20" customFormat="1" ht="20.100000000000001" hidden="1" customHeight="1" x14ac:dyDescent="0.15">
      <c r="A163" s="52"/>
      <c r="B163" s="5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53"/>
    </row>
    <row r="164" spans="1:17" s="20" customFormat="1" ht="29.1" hidden="1" customHeight="1" x14ac:dyDescent="0.15">
      <c r="A164" s="1064" t="s">
        <v>23</v>
      </c>
      <c r="B164" s="25" t="s">
        <v>24</v>
      </c>
      <c r="C164" s="25"/>
      <c r="D164" s="25"/>
      <c r="E164" s="25"/>
      <c r="F164" s="47"/>
      <c r="G164" s="25" t="s">
        <v>57</v>
      </c>
      <c r="H164" s="25"/>
      <c r="I164" s="25"/>
      <c r="J164" s="25"/>
      <c r="K164" s="47"/>
      <c r="L164" s="25" t="s">
        <v>41</v>
      </c>
      <c r="M164" s="25"/>
      <c r="N164" s="25"/>
      <c r="O164" s="25"/>
      <c r="P164" s="25"/>
      <c r="Q164" s="1067" t="s">
        <v>66</v>
      </c>
    </row>
    <row r="165" spans="1:17" s="20" customFormat="1" ht="29.1" hidden="1" customHeight="1" x14ac:dyDescent="0.15">
      <c r="A165" s="1065"/>
      <c r="B165" s="1070" t="s">
        <v>63</v>
      </c>
      <c r="C165" s="1071"/>
      <c r="D165" s="36" t="s">
        <v>26</v>
      </c>
      <c r="E165" s="1071" t="s">
        <v>43</v>
      </c>
      <c r="F165" s="1072"/>
      <c r="G165" s="1070" t="s">
        <v>63</v>
      </c>
      <c r="H165" s="1071"/>
      <c r="I165" s="36" t="s">
        <v>26</v>
      </c>
      <c r="J165" s="1071" t="s">
        <v>43</v>
      </c>
      <c r="K165" s="1072"/>
      <c r="L165" s="1070" t="s">
        <v>63</v>
      </c>
      <c r="M165" s="1072"/>
      <c r="N165" s="36" t="s">
        <v>26</v>
      </c>
      <c r="O165" s="1071" t="s">
        <v>43</v>
      </c>
      <c r="P165" s="1072"/>
      <c r="Q165" s="1068"/>
    </row>
    <row r="166" spans="1:17" s="20" customFormat="1" ht="29.1" hidden="1" customHeight="1" x14ac:dyDescent="0.15">
      <c r="A166" s="1066"/>
      <c r="B166" s="46" t="s">
        <v>61</v>
      </c>
      <c r="C166" s="46" t="s">
        <v>62</v>
      </c>
      <c r="D166" s="44" t="s">
        <v>26</v>
      </c>
      <c r="E166" s="44" t="s">
        <v>61</v>
      </c>
      <c r="F166" s="46" t="s">
        <v>62</v>
      </c>
      <c r="G166" s="46" t="s">
        <v>61</v>
      </c>
      <c r="H166" s="46" t="s">
        <v>62</v>
      </c>
      <c r="I166" s="44" t="s">
        <v>26</v>
      </c>
      <c r="J166" s="44" t="s">
        <v>61</v>
      </c>
      <c r="K166" s="46" t="s">
        <v>62</v>
      </c>
      <c r="L166" s="46" t="s">
        <v>61</v>
      </c>
      <c r="M166" s="46" t="s">
        <v>62</v>
      </c>
      <c r="N166" s="44" t="s">
        <v>26</v>
      </c>
      <c r="O166" s="44" t="s">
        <v>61</v>
      </c>
      <c r="P166" s="46" t="s">
        <v>62</v>
      </c>
      <c r="Q166" s="1069"/>
    </row>
    <row r="167" spans="1:17" s="20" customFormat="1" ht="29.1" hidden="1" customHeight="1" x14ac:dyDescent="0.15">
      <c r="A167" s="85" t="s">
        <v>24</v>
      </c>
      <c r="B167" s="27" t="e">
        <f>SUMIF(#REF!,"계",#REF!)</f>
        <v>#REF!</v>
      </c>
      <c r="C167" s="27" t="e">
        <f>SUMIF(#REF!,"계",#REF!)</f>
        <v>#REF!</v>
      </c>
      <c r="D167" s="28" t="s">
        <v>26</v>
      </c>
      <c r="E167" s="29" t="e">
        <f>SUMIF(#REF!,"계",#REF!)</f>
        <v>#REF!</v>
      </c>
      <c r="F167" s="29" t="e">
        <f>SUMIF(#REF!,"계",#REF!)</f>
        <v>#REF!</v>
      </c>
      <c r="G167" s="27" t="e">
        <f>SUMIF(#REF!,"계",#REF!)</f>
        <v>#REF!</v>
      </c>
      <c r="H167" s="27" t="e">
        <f>SUMIF(#REF!,"계",#REF!)</f>
        <v>#REF!</v>
      </c>
      <c r="I167" s="28" t="s">
        <v>26</v>
      </c>
      <c r="J167" s="29" t="e">
        <f>SUMIF(#REF!,"계",#REF!)</f>
        <v>#REF!</v>
      </c>
      <c r="K167" s="29" t="e">
        <f>SUMIF(#REF!,"계",#REF!)</f>
        <v>#REF!</v>
      </c>
      <c r="L167" s="27" t="e">
        <f>SUMIF(#REF!,"계",#REF!)</f>
        <v>#REF!</v>
      </c>
      <c r="M167" s="27" t="e">
        <f>SUMIF(#REF!,"계",#REF!)</f>
        <v>#REF!</v>
      </c>
      <c r="N167" s="28" t="s">
        <v>26</v>
      </c>
      <c r="O167" s="29" t="e">
        <f>SUMIF(#REF!,"계",#REF!)</f>
        <v>#REF!</v>
      </c>
      <c r="P167" s="29" t="e">
        <f>SUMIF(#REF!,"계",#REF!)</f>
        <v>#REF!</v>
      </c>
      <c r="Q167" s="26" t="e">
        <f>F167-E167</f>
        <v>#REF!</v>
      </c>
    </row>
    <row r="168" spans="1:17" s="20" customFormat="1" ht="29.1" hidden="1" customHeight="1" x14ac:dyDescent="0.15">
      <c r="A168" s="54" t="s">
        <v>27</v>
      </c>
      <c r="B168" s="30" t="e">
        <f>SUMIF(#REF!,"전",#REF!)</f>
        <v>#REF!</v>
      </c>
      <c r="C168" s="30" t="e">
        <f>SUMIF(#REF!,"전",#REF!)</f>
        <v>#REF!</v>
      </c>
      <c r="D168" s="8" t="s">
        <v>26</v>
      </c>
      <c r="E168" s="31" t="e">
        <f>SUMIF(#REF!,"전",#REF!)</f>
        <v>#REF!</v>
      </c>
      <c r="F168" s="31" t="e">
        <f>SUMIF(#REF!,"전",#REF!)</f>
        <v>#REF!</v>
      </c>
      <c r="G168" s="30" t="e">
        <f>SUMIF(#REF!,"전",#REF!)</f>
        <v>#REF!</v>
      </c>
      <c r="H168" s="30" t="e">
        <f>SUMIF(#REF!,"전",#REF!)</f>
        <v>#REF!</v>
      </c>
      <c r="I168" s="8" t="s">
        <v>26</v>
      </c>
      <c r="J168" s="31" t="e">
        <f>SUMIF(#REF!,"전",#REF!)</f>
        <v>#REF!</v>
      </c>
      <c r="K168" s="31" t="e">
        <f>SUMIF(#REF!,"전",#REF!)</f>
        <v>#REF!</v>
      </c>
      <c r="L168" s="30" t="e">
        <f>SUMIF(#REF!,"전",#REF!)</f>
        <v>#REF!</v>
      </c>
      <c r="M168" s="30" t="e">
        <f>SUMIF(#REF!,"전",#REF!)</f>
        <v>#REF!</v>
      </c>
      <c r="N168" s="8" t="s">
        <v>26</v>
      </c>
      <c r="O168" s="31" t="e">
        <f>SUMIF(#REF!,"전",#REF!)</f>
        <v>#REF!</v>
      </c>
      <c r="P168" s="31" t="e">
        <f>SUMIF(#REF!,"전",#REF!)</f>
        <v>#REF!</v>
      </c>
      <c r="Q168" s="21" t="e">
        <f t="shared" ref="Q168:Q184" si="7">F168-E168</f>
        <v>#REF!</v>
      </c>
    </row>
    <row r="169" spans="1:17" s="20" customFormat="1" ht="29.1" hidden="1" customHeight="1" x14ac:dyDescent="0.15">
      <c r="A169" s="54" t="s">
        <v>28</v>
      </c>
      <c r="B169" s="30" t="e">
        <f>SUMIF(#REF!,"답",#REF!)</f>
        <v>#REF!</v>
      </c>
      <c r="C169" s="30" t="e">
        <f>SUMIF(#REF!,"답",#REF!)</f>
        <v>#REF!</v>
      </c>
      <c r="D169" s="8" t="s">
        <v>26</v>
      </c>
      <c r="E169" s="31" t="e">
        <f>SUMIF(#REF!,"답",#REF!)</f>
        <v>#REF!</v>
      </c>
      <c r="F169" s="31" t="e">
        <f>SUMIF(#REF!,"답",#REF!)</f>
        <v>#REF!</v>
      </c>
      <c r="G169" s="30" t="e">
        <f>SUMIF(#REF!,"답",#REF!)</f>
        <v>#REF!</v>
      </c>
      <c r="H169" s="30" t="e">
        <f>SUMIF(#REF!,"답",#REF!)</f>
        <v>#REF!</v>
      </c>
      <c r="I169" s="8" t="s">
        <v>26</v>
      </c>
      <c r="J169" s="31" t="e">
        <f>SUMIF(#REF!,"답",#REF!)</f>
        <v>#REF!</v>
      </c>
      <c r="K169" s="31" t="e">
        <f>SUMIF(#REF!,"답",#REF!)</f>
        <v>#REF!</v>
      </c>
      <c r="L169" s="30" t="e">
        <f>SUMIF(#REF!,"답",#REF!)</f>
        <v>#REF!</v>
      </c>
      <c r="M169" s="30" t="e">
        <f>SUMIF(#REF!,"답",#REF!)</f>
        <v>#REF!</v>
      </c>
      <c r="N169" s="8" t="s">
        <v>26</v>
      </c>
      <c r="O169" s="31" t="e">
        <f>SUMIF(#REF!,"답",#REF!)</f>
        <v>#REF!</v>
      </c>
      <c r="P169" s="31" t="e">
        <f>SUMIF(#REF!,"답",#REF!)</f>
        <v>#REF!</v>
      </c>
      <c r="Q169" s="21" t="e">
        <f t="shared" si="7"/>
        <v>#REF!</v>
      </c>
    </row>
    <row r="170" spans="1:17" s="20" customFormat="1" ht="29.1" hidden="1" customHeight="1" x14ac:dyDescent="0.15">
      <c r="A170" s="54" t="s">
        <v>29</v>
      </c>
      <c r="B170" s="30" t="e">
        <f>SUMIF(#REF!,"대지",#REF!)</f>
        <v>#REF!</v>
      </c>
      <c r="C170" s="30" t="e">
        <f>SUMIF(#REF!,"대지",#REF!)</f>
        <v>#REF!</v>
      </c>
      <c r="D170" s="8" t="s">
        <v>26</v>
      </c>
      <c r="E170" s="31" t="e">
        <f>SUMIF(#REF!,"대지",#REF!)</f>
        <v>#REF!</v>
      </c>
      <c r="F170" s="31" t="e">
        <f>SUMIF(#REF!,"대지",#REF!)</f>
        <v>#REF!</v>
      </c>
      <c r="G170" s="30" t="e">
        <f>SUMIF(#REF!,"대지",#REF!)</f>
        <v>#REF!</v>
      </c>
      <c r="H170" s="30" t="e">
        <f>SUMIF(#REF!,"대지",#REF!)</f>
        <v>#REF!</v>
      </c>
      <c r="I170" s="8" t="s">
        <v>26</v>
      </c>
      <c r="J170" s="31" t="e">
        <f>SUMIF(#REF!,"대지",#REF!)</f>
        <v>#REF!</v>
      </c>
      <c r="K170" s="31" t="e">
        <f>SUMIF(#REF!,"대지",#REF!)</f>
        <v>#REF!</v>
      </c>
      <c r="L170" s="30" t="e">
        <f>SUMIF(#REF!,"대지",#REF!)</f>
        <v>#REF!</v>
      </c>
      <c r="M170" s="30" t="e">
        <f>SUMIF(#REF!,"대지",#REF!)</f>
        <v>#REF!</v>
      </c>
      <c r="N170" s="8" t="s">
        <v>26</v>
      </c>
      <c r="O170" s="31" t="e">
        <f>SUMIF(#REF!,"대지",#REF!)</f>
        <v>#REF!</v>
      </c>
      <c r="P170" s="31" t="e">
        <f>SUMIF(#REF!,"대지",#REF!)</f>
        <v>#REF!</v>
      </c>
      <c r="Q170" s="21" t="e">
        <f t="shared" si="7"/>
        <v>#REF!</v>
      </c>
    </row>
    <row r="171" spans="1:17" s="20" customFormat="1" ht="29.1" hidden="1" customHeight="1" x14ac:dyDescent="0.15">
      <c r="A171" s="54" t="s">
        <v>30</v>
      </c>
      <c r="B171" s="30" t="e">
        <f>SUMIF(#REF!,"임야",#REF!)</f>
        <v>#REF!</v>
      </c>
      <c r="C171" s="30" t="e">
        <f>SUMIF(#REF!,"임야",#REF!)</f>
        <v>#REF!</v>
      </c>
      <c r="D171" s="8" t="s">
        <v>26</v>
      </c>
      <c r="E171" s="31" t="e">
        <f>SUMIF(#REF!,"임야",#REF!)</f>
        <v>#REF!</v>
      </c>
      <c r="F171" s="31" t="e">
        <f>SUMIF(#REF!,"임야",#REF!)</f>
        <v>#REF!</v>
      </c>
      <c r="G171" s="30" t="e">
        <f>SUMIF(#REF!,"임야",#REF!)</f>
        <v>#REF!</v>
      </c>
      <c r="H171" s="30" t="e">
        <f>SUMIF(#REF!,"임야",#REF!)</f>
        <v>#REF!</v>
      </c>
      <c r="I171" s="8" t="s">
        <v>26</v>
      </c>
      <c r="J171" s="31" t="e">
        <f>SUMIF(#REF!,"임야",#REF!)</f>
        <v>#REF!</v>
      </c>
      <c r="K171" s="31" t="e">
        <f>SUMIF(#REF!,"임야",#REF!)</f>
        <v>#REF!</v>
      </c>
      <c r="L171" s="30" t="e">
        <f>SUMIF(#REF!,"임야",#REF!)</f>
        <v>#REF!</v>
      </c>
      <c r="M171" s="30" t="e">
        <f>SUMIF(#REF!,"임야",#REF!)</f>
        <v>#REF!</v>
      </c>
      <c r="N171" s="8" t="s">
        <v>26</v>
      </c>
      <c r="O171" s="31" t="e">
        <f>SUMIF(#REF!,"임야",#REF!)</f>
        <v>#REF!</v>
      </c>
      <c r="P171" s="31" t="e">
        <f>SUMIF(#REF!,"임야",#REF!)</f>
        <v>#REF!</v>
      </c>
      <c r="Q171" s="21" t="e">
        <f t="shared" si="7"/>
        <v>#REF!</v>
      </c>
    </row>
    <row r="172" spans="1:17" s="20" customFormat="1" ht="29.1" hidden="1" customHeight="1" x14ac:dyDescent="0.15">
      <c r="A172" s="54" t="s">
        <v>31</v>
      </c>
      <c r="B172" s="30" t="e">
        <f>SUMIF(#REF!,"도로",#REF!)</f>
        <v>#REF!</v>
      </c>
      <c r="C172" s="30" t="e">
        <f>SUMIF(#REF!,"도로",#REF!)</f>
        <v>#REF!</v>
      </c>
      <c r="D172" s="8" t="s">
        <v>26</v>
      </c>
      <c r="E172" s="31" t="e">
        <f>SUMIF(#REF!,"도로",#REF!)</f>
        <v>#REF!</v>
      </c>
      <c r="F172" s="31" t="e">
        <f>SUMIF(#REF!,"도로",#REF!)</f>
        <v>#REF!</v>
      </c>
      <c r="G172" s="30" t="e">
        <f>SUMIF(#REF!,"도로",#REF!)</f>
        <v>#REF!</v>
      </c>
      <c r="H172" s="30" t="e">
        <f>SUMIF(#REF!,"도로",#REF!)</f>
        <v>#REF!</v>
      </c>
      <c r="I172" s="8" t="s">
        <v>26</v>
      </c>
      <c r="J172" s="31" t="e">
        <f>SUMIF(#REF!,"도로",#REF!)</f>
        <v>#REF!</v>
      </c>
      <c r="K172" s="31" t="e">
        <f>SUMIF(#REF!,"도로",#REF!)</f>
        <v>#REF!</v>
      </c>
      <c r="L172" s="30" t="e">
        <f>SUMIF(#REF!,"도로",#REF!)</f>
        <v>#REF!</v>
      </c>
      <c r="M172" s="30" t="e">
        <f>SUMIF(#REF!,"도로",#REF!)</f>
        <v>#REF!</v>
      </c>
      <c r="N172" s="8" t="s">
        <v>26</v>
      </c>
      <c r="O172" s="31" t="e">
        <f>SUMIF(#REF!,"도로",#REF!)</f>
        <v>#REF!</v>
      </c>
      <c r="P172" s="31" t="e">
        <f>SUMIF(#REF!,"도로",#REF!)</f>
        <v>#REF!</v>
      </c>
      <c r="Q172" s="21" t="e">
        <f t="shared" si="7"/>
        <v>#REF!</v>
      </c>
    </row>
    <row r="173" spans="1:17" s="20" customFormat="1" ht="29.1" hidden="1" customHeight="1" x14ac:dyDescent="0.15">
      <c r="A173" s="54" t="s">
        <v>32</v>
      </c>
      <c r="B173" s="30" t="e">
        <f>SUMIF(#REF!,"하천",#REF!)</f>
        <v>#REF!</v>
      </c>
      <c r="C173" s="30" t="e">
        <f>SUMIF(#REF!,"하천",#REF!)</f>
        <v>#REF!</v>
      </c>
      <c r="D173" s="8" t="s">
        <v>26</v>
      </c>
      <c r="E173" s="31" t="e">
        <f>SUMIF(#REF!,"하천",#REF!)</f>
        <v>#REF!</v>
      </c>
      <c r="F173" s="31" t="e">
        <f>SUMIF(#REF!,"하천",#REF!)</f>
        <v>#REF!</v>
      </c>
      <c r="G173" s="30" t="e">
        <f>SUMIF(#REF!,"하천",#REF!)</f>
        <v>#REF!</v>
      </c>
      <c r="H173" s="30" t="e">
        <f>SUMIF(#REF!,"하천",#REF!)</f>
        <v>#REF!</v>
      </c>
      <c r="I173" s="8" t="s">
        <v>26</v>
      </c>
      <c r="J173" s="31" t="e">
        <f>SUMIF(#REF!,"하천",#REF!)</f>
        <v>#REF!</v>
      </c>
      <c r="K173" s="31" t="e">
        <f>SUMIF(#REF!,"하천",#REF!)</f>
        <v>#REF!</v>
      </c>
      <c r="L173" s="30" t="e">
        <f>SUMIF(#REF!,"하천",#REF!)</f>
        <v>#REF!</v>
      </c>
      <c r="M173" s="30" t="e">
        <f>SUMIF(#REF!,"하천",#REF!)</f>
        <v>#REF!</v>
      </c>
      <c r="N173" s="8" t="s">
        <v>26</v>
      </c>
      <c r="O173" s="31" t="e">
        <f>SUMIF(#REF!,"하천",#REF!)</f>
        <v>#REF!</v>
      </c>
      <c r="P173" s="31" t="e">
        <f>SUMIF(#REF!,"하천",#REF!)</f>
        <v>#REF!</v>
      </c>
      <c r="Q173" s="21" t="e">
        <f t="shared" si="7"/>
        <v>#REF!</v>
      </c>
    </row>
    <row r="174" spans="1:17" s="20" customFormat="1" ht="29.1" hidden="1" customHeight="1" x14ac:dyDescent="0.15">
      <c r="A174" s="54" t="s">
        <v>33</v>
      </c>
      <c r="B174" s="30" t="e">
        <f>SUMIF(#REF!,"구거",#REF!)</f>
        <v>#REF!</v>
      </c>
      <c r="C174" s="30" t="e">
        <f>SUMIF(#REF!,"구거",#REF!)</f>
        <v>#REF!</v>
      </c>
      <c r="D174" s="8" t="s">
        <v>26</v>
      </c>
      <c r="E174" s="31" t="e">
        <f>SUMIF(#REF!,"구거",#REF!)</f>
        <v>#REF!</v>
      </c>
      <c r="F174" s="31" t="e">
        <f>SUMIF(#REF!,"구거",#REF!)</f>
        <v>#REF!</v>
      </c>
      <c r="G174" s="30" t="e">
        <f>SUMIF(#REF!,"구거",#REF!)</f>
        <v>#REF!</v>
      </c>
      <c r="H174" s="30" t="e">
        <f>SUMIF(#REF!,"구거",#REF!)</f>
        <v>#REF!</v>
      </c>
      <c r="I174" s="8" t="s">
        <v>26</v>
      </c>
      <c r="J174" s="31" t="e">
        <f>SUMIF(#REF!,"구거",#REF!)</f>
        <v>#REF!</v>
      </c>
      <c r="K174" s="31" t="e">
        <f>SUMIF(#REF!,"구거",#REF!)</f>
        <v>#REF!</v>
      </c>
      <c r="L174" s="30" t="e">
        <f>SUMIF(#REF!,"구거",#REF!)</f>
        <v>#REF!</v>
      </c>
      <c r="M174" s="30" t="e">
        <f>SUMIF(#REF!,"구거",#REF!)</f>
        <v>#REF!</v>
      </c>
      <c r="N174" s="8" t="s">
        <v>26</v>
      </c>
      <c r="O174" s="31" t="e">
        <f>SUMIF(#REF!,"구거",#REF!)</f>
        <v>#REF!</v>
      </c>
      <c r="P174" s="31" t="e">
        <f>SUMIF(#REF!,"구거",#REF!)</f>
        <v>#REF!</v>
      </c>
      <c r="Q174" s="21" t="e">
        <f t="shared" si="7"/>
        <v>#REF!</v>
      </c>
    </row>
    <row r="175" spans="1:17" s="20" customFormat="1" ht="29.1" hidden="1" customHeight="1" x14ac:dyDescent="0.15">
      <c r="A175" s="54" t="s">
        <v>34</v>
      </c>
      <c r="B175" s="30" t="e">
        <f>SUMIF(#REF!,"제방",#REF!)</f>
        <v>#REF!</v>
      </c>
      <c r="C175" s="34" t="e">
        <f>SUMIF(#REF!,"제방",#REF!)</f>
        <v>#REF!</v>
      </c>
      <c r="D175" s="8" t="s">
        <v>26</v>
      </c>
      <c r="E175" s="31" t="e">
        <f>SUMIF(#REF!,"제방",#REF!)</f>
        <v>#REF!</v>
      </c>
      <c r="F175" s="35" t="e">
        <f>SUMIF(#REF!,"제방",#REF!)</f>
        <v>#REF!</v>
      </c>
      <c r="G175" s="30" t="e">
        <f>SUMIF(#REF!,"제방",#REF!)</f>
        <v>#REF!</v>
      </c>
      <c r="H175" s="30" t="e">
        <f>SUMIF(#REF!,"제방",#REF!)</f>
        <v>#REF!</v>
      </c>
      <c r="I175" s="8" t="s">
        <v>26</v>
      </c>
      <c r="J175" s="31" t="e">
        <f>SUMIF(#REF!,"제방",#REF!)</f>
        <v>#REF!</v>
      </c>
      <c r="K175" s="31" t="e">
        <f>SUMIF(#REF!,"제방",#REF!)</f>
        <v>#REF!</v>
      </c>
      <c r="L175" s="30" t="e">
        <f>SUMIF(#REF!,"제방",#REF!)</f>
        <v>#REF!</v>
      </c>
      <c r="M175" s="30" t="e">
        <f>SUMIF(#REF!,"제방",#REF!)</f>
        <v>#REF!</v>
      </c>
      <c r="N175" s="8" t="s">
        <v>26</v>
      </c>
      <c r="O175" s="31" t="e">
        <f>SUMIF(#REF!,"제방",#REF!)</f>
        <v>#REF!</v>
      </c>
      <c r="P175" s="31" t="e">
        <f>SUMIF(#REF!,"제방",#REF!)</f>
        <v>#REF!</v>
      </c>
      <c r="Q175" s="21" t="e">
        <f t="shared" si="7"/>
        <v>#REF!</v>
      </c>
    </row>
    <row r="176" spans="1:17" s="20" customFormat="1" ht="29.1" hidden="1" customHeight="1" x14ac:dyDescent="0.15">
      <c r="A176" s="54" t="s">
        <v>52</v>
      </c>
      <c r="B176" s="30" t="e">
        <f>SUMIF(#REF!,"유지",#REF!)</f>
        <v>#REF!</v>
      </c>
      <c r="C176" s="34" t="e">
        <f>SUMIF(#REF!,"유지",#REF!)</f>
        <v>#REF!</v>
      </c>
      <c r="D176" s="8" t="s">
        <v>26</v>
      </c>
      <c r="E176" s="31" t="e">
        <f>SUMIF(#REF!,"유지",#REF!)</f>
        <v>#REF!</v>
      </c>
      <c r="F176" s="35" t="e">
        <f>SUMIF(#REF!,"유지",#REF!)</f>
        <v>#REF!</v>
      </c>
      <c r="G176" s="30" t="e">
        <f>SUMIF(#REF!,"유지",#REF!)</f>
        <v>#REF!</v>
      </c>
      <c r="H176" s="30" t="e">
        <f>SUMIF(#REF!,"유지",#REF!)</f>
        <v>#REF!</v>
      </c>
      <c r="I176" s="8" t="s">
        <v>26</v>
      </c>
      <c r="J176" s="31" t="e">
        <f>SUMIF(#REF!,"유지",#REF!)</f>
        <v>#REF!</v>
      </c>
      <c r="K176" s="31" t="e">
        <f>SUMIF(#REF!,"유지",#REF!)</f>
        <v>#REF!</v>
      </c>
      <c r="L176" s="30" t="e">
        <f>SUMIF(#REF!,"유지",#REF!)</f>
        <v>#REF!</v>
      </c>
      <c r="M176" s="30" t="e">
        <f>SUMIF(#REF!,"유지",#REF!)</f>
        <v>#REF!</v>
      </c>
      <c r="N176" s="8" t="s">
        <v>26</v>
      </c>
      <c r="O176" s="31" t="e">
        <f>SUMIF(#REF!,"유지",#REF!)</f>
        <v>#REF!</v>
      </c>
      <c r="P176" s="31" t="e">
        <f>SUMIF(#REF!,"유지",#REF!)</f>
        <v>#REF!</v>
      </c>
      <c r="Q176" s="21" t="e">
        <f t="shared" si="7"/>
        <v>#REF!</v>
      </c>
    </row>
    <row r="177" spans="1:17" s="20" customFormat="1" ht="29.1" hidden="1" customHeight="1" x14ac:dyDescent="0.15">
      <c r="A177" s="54" t="s">
        <v>35</v>
      </c>
      <c r="B177" s="30" t="e">
        <f>SUMIF(#REF!,"잡종지",#REF!)</f>
        <v>#REF!</v>
      </c>
      <c r="C177" s="34" t="e">
        <f>SUMIF(#REF!,"잡종지",#REF!)</f>
        <v>#REF!</v>
      </c>
      <c r="D177" s="8" t="s">
        <v>26</v>
      </c>
      <c r="E177" s="31" t="e">
        <f>SUMIF(#REF!,"잡종지",#REF!)</f>
        <v>#REF!</v>
      </c>
      <c r="F177" s="35" t="e">
        <f>SUMIF(#REF!,"잡종지",#REF!)</f>
        <v>#REF!</v>
      </c>
      <c r="G177" s="30" t="e">
        <f>SUMIF(#REF!,"잡종지",#REF!)</f>
        <v>#REF!</v>
      </c>
      <c r="H177" s="30" t="e">
        <f>SUMIF(#REF!,"잡종지",#REF!)</f>
        <v>#REF!</v>
      </c>
      <c r="I177" s="8" t="s">
        <v>26</v>
      </c>
      <c r="J177" s="31" t="e">
        <f>SUMIF(#REF!,"잡종지",#REF!)</f>
        <v>#REF!</v>
      </c>
      <c r="K177" s="31" t="e">
        <f>SUMIF(#REF!,"잡종지",#REF!)</f>
        <v>#REF!</v>
      </c>
      <c r="L177" s="30" t="e">
        <f>SUMIF(#REF!,"잡종지",#REF!)</f>
        <v>#REF!</v>
      </c>
      <c r="M177" s="30" t="e">
        <f>SUMIF(#REF!,"잡종지",#REF!)</f>
        <v>#REF!</v>
      </c>
      <c r="N177" s="8" t="s">
        <v>26</v>
      </c>
      <c r="O177" s="31" t="e">
        <f>SUMIF(#REF!,"잡종지",#REF!)</f>
        <v>#REF!</v>
      </c>
      <c r="P177" s="31" t="e">
        <f>SUMIF(#REF!,"잡종지",#REF!)</f>
        <v>#REF!</v>
      </c>
      <c r="Q177" s="56" t="e">
        <f t="shared" si="7"/>
        <v>#REF!</v>
      </c>
    </row>
    <row r="178" spans="1:17" s="20" customFormat="1" ht="29.1" hidden="1" customHeight="1" x14ac:dyDescent="0.15">
      <c r="A178" s="54" t="s">
        <v>36</v>
      </c>
      <c r="B178" s="30" t="e">
        <f>SUMIF(#REF!,"묘지",#REF!)</f>
        <v>#REF!</v>
      </c>
      <c r="C178" s="34" t="e">
        <f>SUMIF(#REF!,"묘지",#REF!)</f>
        <v>#REF!</v>
      </c>
      <c r="D178" s="8" t="s">
        <v>26</v>
      </c>
      <c r="E178" s="31" t="e">
        <f>SUMIF(#REF!,"묘지",#REF!)</f>
        <v>#REF!</v>
      </c>
      <c r="F178" s="35" t="e">
        <f>SUMIF(#REF!,"묘지",#REF!)</f>
        <v>#REF!</v>
      </c>
      <c r="G178" s="30" t="e">
        <f>SUMIF(#REF!,"묘지",#REF!)</f>
        <v>#REF!</v>
      </c>
      <c r="H178" s="30" t="e">
        <f>SUMIF(#REF!,"묘지",#REF!)</f>
        <v>#REF!</v>
      </c>
      <c r="I178" s="8" t="s">
        <v>26</v>
      </c>
      <c r="J178" s="31" t="e">
        <f>SUMIF(#REF!,"묘지",#REF!)</f>
        <v>#REF!</v>
      </c>
      <c r="K178" s="31" t="e">
        <f>SUMIF(#REF!,"묘지",#REF!)</f>
        <v>#REF!</v>
      </c>
      <c r="L178" s="30" t="e">
        <f>SUMIF(#REF!,"묘지",#REF!)</f>
        <v>#REF!</v>
      </c>
      <c r="M178" s="30" t="e">
        <f>SUMIF(#REF!,"묘지",#REF!)</f>
        <v>#REF!</v>
      </c>
      <c r="N178" s="8" t="s">
        <v>26</v>
      </c>
      <c r="O178" s="31" t="e">
        <f>SUMIF(#REF!,"묘지",#REF!)</f>
        <v>#REF!</v>
      </c>
      <c r="P178" s="31" t="e">
        <f>SUMIF(#REF!,"묘지",#REF!)</f>
        <v>#REF!</v>
      </c>
      <c r="Q178" s="56" t="e">
        <f t="shared" si="7"/>
        <v>#REF!</v>
      </c>
    </row>
    <row r="179" spans="1:17" s="20" customFormat="1" ht="29.1" hidden="1" customHeight="1" x14ac:dyDescent="0.15">
      <c r="A179" s="54" t="s">
        <v>53</v>
      </c>
      <c r="B179" s="30" t="e">
        <f>SUMIF(#REF!,"과수원",#REF!)</f>
        <v>#REF!</v>
      </c>
      <c r="C179" s="34" t="e">
        <f>SUMIF(#REF!,"과수원",#REF!)</f>
        <v>#REF!</v>
      </c>
      <c r="D179" s="8" t="s">
        <v>26</v>
      </c>
      <c r="E179" s="31" t="e">
        <f>SUMIF(#REF!,"과수원",#REF!)</f>
        <v>#REF!</v>
      </c>
      <c r="F179" s="35" t="e">
        <f>SUMIF(#REF!,"과수원",#REF!)</f>
        <v>#REF!</v>
      </c>
      <c r="G179" s="30" t="e">
        <f>SUMIF(#REF!,"과수원",#REF!)</f>
        <v>#REF!</v>
      </c>
      <c r="H179" s="30" t="e">
        <f>SUMIF(#REF!,"과수원",#REF!)</f>
        <v>#REF!</v>
      </c>
      <c r="I179" s="8" t="s">
        <v>26</v>
      </c>
      <c r="J179" s="31" t="e">
        <f>SUMIF(#REF!,"과수원",#REF!)</f>
        <v>#REF!</v>
      </c>
      <c r="K179" s="31" t="e">
        <f>SUMIF(#REF!,"과수원",#REF!)</f>
        <v>#REF!</v>
      </c>
      <c r="L179" s="30" t="e">
        <f>SUMIF(#REF!,"과수원",#REF!)</f>
        <v>#REF!</v>
      </c>
      <c r="M179" s="30" t="e">
        <f>SUMIF(#REF!,"과수원",#REF!)</f>
        <v>#REF!</v>
      </c>
      <c r="N179" s="8" t="s">
        <v>26</v>
      </c>
      <c r="O179" s="31" t="e">
        <f>SUMIF(#REF!,"과수원",#REF!)</f>
        <v>#REF!</v>
      </c>
      <c r="P179" s="31" t="e">
        <f>SUMIF(#REF!,"과수원",#REF!)</f>
        <v>#REF!</v>
      </c>
      <c r="Q179" s="56" t="e">
        <f t="shared" si="7"/>
        <v>#REF!</v>
      </c>
    </row>
    <row r="180" spans="1:17" s="20" customFormat="1" ht="29.1" hidden="1" customHeight="1" x14ac:dyDescent="0.15">
      <c r="A180" s="54" t="s">
        <v>54</v>
      </c>
      <c r="B180" s="30" t="e">
        <f>SUMIF(#REF!,"철도",#REF!)</f>
        <v>#REF!</v>
      </c>
      <c r="C180" s="34" t="e">
        <f>SUMIF(#REF!,"철도",#REF!)</f>
        <v>#REF!</v>
      </c>
      <c r="D180" s="8" t="s">
        <v>26</v>
      </c>
      <c r="E180" s="31" t="e">
        <f>SUMIF(#REF!,"철도",#REF!)</f>
        <v>#REF!</v>
      </c>
      <c r="F180" s="35" t="e">
        <f>SUMIF(#REF!,"철도",#REF!)</f>
        <v>#REF!</v>
      </c>
      <c r="G180" s="30" t="e">
        <f>SUMIF(#REF!,"철도",#REF!)</f>
        <v>#REF!</v>
      </c>
      <c r="H180" s="30" t="e">
        <f>SUMIF(#REF!,"철도",#REF!)</f>
        <v>#REF!</v>
      </c>
      <c r="I180" s="8" t="s">
        <v>26</v>
      </c>
      <c r="J180" s="31" t="e">
        <f>SUMIF(#REF!,"철도",#REF!)</f>
        <v>#REF!</v>
      </c>
      <c r="K180" s="31" t="e">
        <f>SUMIF(#REF!,"철도",#REF!)</f>
        <v>#REF!</v>
      </c>
      <c r="L180" s="30" t="e">
        <f>SUMIF(#REF!,"철도",#REF!)</f>
        <v>#REF!</v>
      </c>
      <c r="M180" s="30" t="e">
        <f>SUMIF(#REF!,"철도",#REF!)</f>
        <v>#REF!</v>
      </c>
      <c r="N180" s="8" t="s">
        <v>26</v>
      </c>
      <c r="O180" s="31" t="e">
        <f>SUMIF(#REF!,"철도",#REF!)</f>
        <v>#REF!</v>
      </c>
      <c r="P180" s="31" t="e">
        <f>SUMIF(#REF!,"철도",#REF!)</f>
        <v>#REF!</v>
      </c>
      <c r="Q180" s="56" t="e">
        <f t="shared" si="7"/>
        <v>#REF!</v>
      </c>
    </row>
    <row r="181" spans="1:17" s="20" customFormat="1" ht="29.1" hidden="1" customHeight="1" x14ac:dyDescent="0.15">
      <c r="A181" s="54" t="s">
        <v>38</v>
      </c>
      <c r="B181" s="30" t="e">
        <f>SUMIF(#REF!,"학교용지",#REF!)</f>
        <v>#REF!</v>
      </c>
      <c r="C181" s="34" t="e">
        <f>SUMIF(#REF!,"학교용지",#REF!)</f>
        <v>#REF!</v>
      </c>
      <c r="D181" s="8" t="s">
        <v>26</v>
      </c>
      <c r="E181" s="31" t="e">
        <f>SUMIF(#REF!,"학교용지",#REF!)</f>
        <v>#REF!</v>
      </c>
      <c r="F181" s="35" t="e">
        <f>SUMIF(#REF!,"학교용지",#REF!)</f>
        <v>#REF!</v>
      </c>
      <c r="G181" s="30" t="e">
        <f>SUMIF(#REF!,"학교용지",#REF!)</f>
        <v>#REF!</v>
      </c>
      <c r="H181" s="30" t="e">
        <f>SUMIF(#REF!,"학교용지",#REF!)</f>
        <v>#REF!</v>
      </c>
      <c r="I181" s="8" t="s">
        <v>26</v>
      </c>
      <c r="J181" s="31" t="e">
        <f>SUMIF(#REF!,"학교용지",#REF!)</f>
        <v>#REF!</v>
      </c>
      <c r="K181" s="31" t="e">
        <f>SUMIF(#REF!,"학교용지",#REF!)</f>
        <v>#REF!</v>
      </c>
      <c r="L181" s="30" t="e">
        <f>SUMIF(#REF!,"학교용지",#REF!)</f>
        <v>#REF!</v>
      </c>
      <c r="M181" s="30" t="e">
        <f>SUMIF(#REF!,"학교용지",#REF!)</f>
        <v>#REF!</v>
      </c>
      <c r="N181" s="8" t="s">
        <v>26</v>
      </c>
      <c r="O181" s="31" t="e">
        <f>SUMIF(#REF!,"학교용지",#REF!)</f>
        <v>#REF!</v>
      </c>
      <c r="P181" s="31" t="e">
        <f>SUMIF(#REF!,"학교용지",#REF!)</f>
        <v>#REF!</v>
      </c>
      <c r="Q181" s="56" t="e">
        <f t="shared" si="7"/>
        <v>#REF!</v>
      </c>
    </row>
    <row r="182" spans="1:17" s="20" customFormat="1" ht="29.1" hidden="1" customHeight="1" x14ac:dyDescent="0.15">
      <c r="A182" s="54" t="s">
        <v>55</v>
      </c>
      <c r="B182" s="30" t="e">
        <f>SUMIF(#REF!,"수도",#REF!)</f>
        <v>#REF!</v>
      </c>
      <c r="C182" s="34" t="e">
        <f>SUMIF(#REF!,"수도",#REF!)</f>
        <v>#REF!</v>
      </c>
      <c r="D182" s="8" t="s">
        <v>26</v>
      </c>
      <c r="E182" s="31" t="e">
        <f>SUMIF(#REF!,"수도",#REF!)</f>
        <v>#REF!</v>
      </c>
      <c r="F182" s="35" t="e">
        <f>SUMIF(#REF!,"수도",#REF!)</f>
        <v>#REF!</v>
      </c>
      <c r="G182" s="30" t="e">
        <f>SUMIF(#REF!,"수도",#REF!)</f>
        <v>#REF!</v>
      </c>
      <c r="H182" s="30" t="e">
        <f>SUMIF(#REF!,"수도",#REF!)</f>
        <v>#REF!</v>
      </c>
      <c r="I182" s="8" t="s">
        <v>26</v>
      </c>
      <c r="J182" s="31" t="e">
        <f>SUMIF(#REF!,"수도",#REF!)</f>
        <v>#REF!</v>
      </c>
      <c r="K182" s="31" t="e">
        <f>SUMIF(#REF!,"수도",#REF!)</f>
        <v>#REF!</v>
      </c>
      <c r="L182" s="30" t="e">
        <f>SUMIF(#REF!,"수도",#REF!)</f>
        <v>#REF!</v>
      </c>
      <c r="M182" s="30" t="e">
        <f>SUMIF(#REF!,"수도",#REF!)</f>
        <v>#REF!</v>
      </c>
      <c r="N182" s="8" t="s">
        <v>26</v>
      </c>
      <c r="O182" s="31" t="e">
        <f>SUMIF(#REF!,"수도",#REF!)</f>
        <v>#REF!</v>
      </c>
      <c r="P182" s="31" t="e">
        <f>SUMIF(#REF!,"수도",#REF!)</f>
        <v>#REF!</v>
      </c>
      <c r="Q182" s="56" t="e">
        <f t="shared" si="7"/>
        <v>#REF!</v>
      </c>
    </row>
    <row r="183" spans="1:17" s="20" customFormat="1" ht="29.1" hidden="1" customHeight="1" x14ac:dyDescent="0.15">
      <c r="A183" s="54" t="s">
        <v>40</v>
      </c>
      <c r="B183" s="30" t="e">
        <f>SUMIF(#REF!,"공장",#REF!)</f>
        <v>#REF!</v>
      </c>
      <c r="C183" s="34" t="e">
        <f>SUMIF(#REF!,"공장",#REF!)</f>
        <v>#REF!</v>
      </c>
      <c r="D183" s="8" t="s">
        <v>26</v>
      </c>
      <c r="E183" s="31" t="e">
        <f>SUMIF(#REF!,"공장",#REF!)</f>
        <v>#REF!</v>
      </c>
      <c r="F183" s="35" t="e">
        <f>SUMIF(#REF!,"공장",#REF!)</f>
        <v>#REF!</v>
      </c>
      <c r="G183" s="30" t="e">
        <f>SUMIF(#REF!,"공장",#REF!)</f>
        <v>#REF!</v>
      </c>
      <c r="H183" s="30" t="e">
        <f>SUMIF(#REF!,"공장",#REF!)</f>
        <v>#REF!</v>
      </c>
      <c r="I183" s="8" t="s">
        <v>26</v>
      </c>
      <c r="J183" s="31" t="e">
        <f>SUMIF(#REF!,"공장",#REF!)</f>
        <v>#REF!</v>
      </c>
      <c r="K183" s="31" t="e">
        <f>SUMIF(#REF!,"공장",#REF!)</f>
        <v>#REF!</v>
      </c>
      <c r="L183" s="30" t="e">
        <f>SUMIF(#REF!,"공장",#REF!)</f>
        <v>#REF!</v>
      </c>
      <c r="M183" s="30" t="e">
        <f>SUMIF(#REF!,"공장",#REF!)</f>
        <v>#REF!</v>
      </c>
      <c r="N183" s="8" t="s">
        <v>26</v>
      </c>
      <c r="O183" s="31" t="e">
        <f>SUMIF(#REF!,"공장",#REF!)</f>
        <v>#REF!</v>
      </c>
      <c r="P183" s="31" t="e">
        <f>SUMIF(#REF!,"공장",#REF!)</f>
        <v>#REF!</v>
      </c>
      <c r="Q183" s="56" t="e">
        <f t="shared" si="7"/>
        <v>#REF!</v>
      </c>
    </row>
    <row r="184" spans="1:17" s="20" customFormat="1" ht="29.1" hidden="1" customHeight="1" x14ac:dyDescent="0.15">
      <c r="A184" s="55" t="s">
        <v>56</v>
      </c>
      <c r="B184" s="32" t="e">
        <f>SUMIF(#REF!,"기타",#REF!)</f>
        <v>#REF!</v>
      </c>
      <c r="C184" s="38" t="e">
        <f>SUMIF(#REF!,"기타",#REF!)</f>
        <v>#REF!</v>
      </c>
      <c r="D184" s="22" t="s">
        <v>26</v>
      </c>
      <c r="E184" s="33" t="e">
        <f>SUMIF(#REF!,"기타",#REF!)</f>
        <v>#REF!</v>
      </c>
      <c r="F184" s="39" t="e">
        <f>SUMIF(#REF!,"기타",#REF!)</f>
        <v>#REF!</v>
      </c>
      <c r="G184" s="32" t="e">
        <f>SUMIF(#REF!,"기타",#REF!)</f>
        <v>#REF!</v>
      </c>
      <c r="H184" s="32" t="e">
        <f>SUMIF(#REF!,"기타",#REF!)</f>
        <v>#REF!</v>
      </c>
      <c r="I184" s="22" t="s">
        <v>26</v>
      </c>
      <c r="J184" s="33" t="e">
        <f>SUMIF(#REF!,"기타",#REF!)</f>
        <v>#REF!</v>
      </c>
      <c r="K184" s="33" t="e">
        <f>SUMIF(#REF!,"기타",#REF!)</f>
        <v>#REF!</v>
      </c>
      <c r="L184" s="32" t="e">
        <f>SUMIF(#REF!,"기타",#REF!)</f>
        <v>#REF!</v>
      </c>
      <c r="M184" s="32" t="e">
        <f>SUMIF(#REF!,"기타",#REF!)</f>
        <v>#REF!</v>
      </c>
      <c r="N184" s="22" t="s">
        <v>26</v>
      </c>
      <c r="O184" s="33" t="e">
        <f>SUMIF(#REF!,"기타",#REF!)</f>
        <v>#REF!</v>
      </c>
      <c r="P184" s="33" t="e">
        <f>SUMIF(#REF!,"기타",#REF!)</f>
        <v>#REF!</v>
      </c>
      <c r="Q184" s="81" t="e">
        <f t="shared" si="7"/>
        <v>#REF!</v>
      </c>
    </row>
    <row r="185" spans="1:17" ht="24.95" hidden="1" customHeight="1" x14ac:dyDescent="0.15">
      <c r="A185" s="40" t="s">
        <v>65</v>
      </c>
      <c r="B185" s="1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s="20" customFormat="1" ht="20.100000000000001" hidden="1" customHeight="1" x14ac:dyDescent="0.15">
      <c r="A186" s="52"/>
      <c r="B186" s="5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53"/>
    </row>
    <row r="187" spans="1:17" s="20" customFormat="1" ht="29.1" hidden="1" customHeight="1" x14ac:dyDescent="0.15">
      <c r="A187" s="1064" t="s">
        <v>23</v>
      </c>
      <c r="B187" s="25" t="s">
        <v>24</v>
      </c>
      <c r="C187" s="25"/>
      <c r="D187" s="25"/>
      <c r="E187" s="25"/>
      <c r="F187" s="47"/>
      <c r="G187" s="25" t="s">
        <v>57</v>
      </c>
      <c r="H187" s="25"/>
      <c r="I187" s="25"/>
      <c r="J187" s="25"/>
      <c r="K187" s="47"/>
      <c r="L187" s="25" t="s">
        <v>41</v>
      </c>
      <c r="M187" s="25"/>
      <c r="N187" s="25"/>
      <c r="O187" s="25"/>
      <c r="P187" s="25"/>
      <c r="Q187" s="1067" t="s">
        <v>66</v>
      </c>
    </row>
    <row r="188" spans="1:17" s="20" customFormat="1" ht="29.1" hidden="1" customHeight="1" x14ac:dyDescent="0.15">
      <c r="A188" s="1065"/>
      <c r="B188" s="1070" t="s">
        <v>63</v>
      </c>
      <c r="C188" s="1071"/>
      <c r="D188" s="36" t="s">
        <v>26</v>
      </c>
      <c r="E188" s="1071" t="s">
        <v>43</v>
      </c>
      <c r="F188" s="1072"/>
      <c r="G188" s="1070" t="s">
        <v>63</v>
      </c>
      <c r="H188" s="1071"/>
      <c r="I188" s="36" t="s">
        <v>26</v>
      </c>
      <c r="J188" s="1071" t="s">
        <v>43</v>
      </c>
      <c r="K188" s="1072"/>
      <c r="L188" s="1070" t="s">
        <v>63</v>
      </c>
      <c r="M188" s="1072"/>
      <c r="N188" s="36" t="s">
        <v>26</v>
      </c>
      <c r="O188" s="1071" t="s">
        <v>43</v>
      </c>
      <c r="P188" s="1072"/>
      <c r="Q188" s="1068"/>
    </row>
    <row r="189" spans="1:17" s="20" customFormat="1" ht="29.1" hidden="1" customHeight="1" x14ac:dyDescent="0.15">
      <c r="A189" s="1066"/>
      <c r="B189" s="46" t="s">
        <v>61</v>
      </c>
      <c r="C189" s="46" t="s">
        <v>62</v>
      </c>
      <c r="D189" s="44" t="s">
        <v>26</v>
      </c>
      <c r="E189" s="44" t="s">
        <v>61</v>
      </c>
      <c r="F189" s="46" t="s">
        <v>62</v>
      </c>
      <c r="G189" s="46" t="s">
        <v>61</v>
      </c>
      <c r="H189" s="46" t="s">
        <v>62</v>
      </c>
      <c r="I189" s="44" t="s">
        <v>26</v>
      </c>
      <c r="J189" s="44" t="s">
        <v>61</v>
      </c>
      <c r="K189" s="46" t="s">
        <v>62</v>
      </c>
      <c r="L189" s="46" t="s">
        <v>61</v>
      </c>
      <c r="M189" s="46" t="s">
        <v>62</v>
      </c>
      <c r="N189" s="44" t="s">
        <v>26</v>
      </c>
      <c r="O189" s="44" t="s">
        <v>61</v>
      </c>
      <c r="P189" s="46" t="s">
        <v>62</v>
      </c>
      <c r="Q189" s="1069"/>
    </row>
    <row r="190" spans="1:17" s="20" customFormat="1" ht="29.1" hidden="1" customHeight="1" x14ac:dyDescent="0.15">
      <c r="A190" s="85" t="s">
        <v>24</v>
      </c>
      <c r="B190" s="27" t="e">
        <f>SUMIF(#REF!,"계",#REF!)</f>
        <v>#REF!</v>
      </c>
      <c r="C190" s="27" t="e">
        <f>SUMIF(#REF!,"계",#REF!)</f>
        <v>#REF!</v>
      </c>
      <c r="D190" s="28" t="s">
        <v>26</v>
      </c>
      <c r="E190" s="29" t="e">
        <f>SUMIF(#REF!,"계",#REF!)</f>
        <v>#REF!</v>
      </c>
      <c r="F190" s="29" t="e">
        <f>SUMIF(#REF!,"계",#REF!)</f>
        <v>#REF!</v>
      </c>
      <c r="G190" s="27" t="e">
        <f>SUMIF(#REF!,"계",#REF!)</f>
        <v>#REF!</v>
      </c>
      <c r="H190" s="27" t="e">
        <f>SUMIF(#REF!,"계",#REF!)</f>
        <v>#REF!</v>
      </c>
      <c r="I190" s="28" t="s">
        <v>26</v>
      </c>
      <c r="J190" s="29" t="e">
        <f>SUMIF(#REF!,"계",#REF!)</f>
        <v>#REF!</v>
      </c>
      <c r="K190" s="29" t="e">
        <f>SUMIF(#REF!,"계",#REF!)</f>
        <v>#REF!</v>
      </c>
      <c r="L190" s="27" t="e">
        <f>SUMIF(#REF!,"계",#REF!)</f>
        <v>#REF!</v>
      </c>
      <c r="M190" s="27" t="e">
        <f>SUMIF(#REF!,"계",#REF!)</f>
        <v>#REF!</v>
      </c>
      <c r="N190" s="28" t="s">
        <v>26</v>
      </c>
      <c r="O190" s="29" t="e">
        <f>SUMIF(#REF!,"계",#REF!)</f>
        <v>#REF!</v>
      </c>
      <c r="P190" s="29" t="e">
        <f>SUMIF(#REF!,"계",#REF!)</f>
        <v>#REF!</v>
      </c>
      <c r="Q190" s="26" t="e">
        <f>F190-E190</f>
        <v>#REF!</v>
      </c>
    </row>
    <row r="191" spans="1:17" s="20" customFormat="1" ht="29.1" hidden="1" customHeight="1" x14ac:dyDescent="0.15">
      <c r="A191" s="54" t="s">
        <v>27</v>
      </c>
      <c r="B191" s="30" t="e">
        <f>SUMIF(#REF!,"전",#REF!)</f>
        <v>#REF!</v>
      </c>
      <c r="C191" s="30" t="e">
        <f>SUMIF(#REF!,"전",#REF!)</f>
        <v>#REF!</v>
      </c>
      <c r="D191" s="8" t="s">
        <v>26</v>
      </c>
      <c r="E191" s="31" t="e">
        <f>SUMIF(#REF!,"전",#REF!)</f>
        <v>#REF!</v>
      </c>
      <c r="F191" s="31" t="e">
        <f>SUMIF(#REF!,"전",#REF!)</f>
        <v>#REF!</v>
      </c>
      <c r="G191" s="30" t="e">
        <f>SUMIF(#REF!,"전",#REF!)</f>
        <v>#REF!</v>
      </c>
      <c r="H191" s="30" t="e">
        <f>SUMIF(#REF!,"전",#REF!)</f>
        <v>#REF!</v>
      </c>
      <c r="I191" s="8" t="s">
        <v>26</v>
      </c>
      <c r="J191" s="31" t="e">
        <f>SUMIF(#REF!,"전",#REF!)</f>
        <v>#REF!</v>
      </c>
      <c r="K191" s="31" t="e">
        <f>SUMIF(#REF!,"전",#REF!)</f>
        <v>#REF!</v>
      </c>
      <c r="L191" s="30" t="e">
        <f>SUMIF(#REF!,"전",#REF!)</f>
        <v>#REF!</v>
      </c>
      <c r="M191" s="30" t="e">
        <f>SUMIF(#REF!,"전",#REF!)</f>
        <v>#REF!</v>
      </c>
      <c r="N191" s="8" t="s">
        <v>26</v>
      </c>
      <c r="O191" s="31" t="e">
        <f>SUMIF(#REF!,"전",#REF!)</f>
        <v>#REF!</v>
      </c>
      <c r="P191" s="31" t="e">
        <f>SUMIF(#REF!,"전",#REF!)</f>
        <v>#REF!</v>
      </c>
      <c r="Q191" s="21" t="e">
        <f t="shared" ref="Q191:Q207" si="8">F191-E191</f>
        <v>#REF!</v>
      </c>
    </row>
    <row r="192" spans="1:17" s="20" customFormat="1" ht="29.1" hidden="1" customHeight="1" x14ac:dyDescent="0.15">
      <c r="A192" s="54" t="s">
        <v>28</v>
      </c>
      <c r="B192" s="30" t="e">
        <f>SUMIF(#REF!,"답",#REF!)</f>
        <v>#REF!</v>
      </c>
      <c r="C192" s="30" t="e">
        <f>SUMIF(#REF!,"답",#REF!)</f>
        <v>#REF!</v>
      </c>
      <c r="D192" s="8" t="s">
        <v>26</v>
      </c>
      <c r="E192" s="31" t="e">
        <f>SUMIF(#REF!,"답",#REF!)</f>
        <v>#REF!</v>
      </c>
      <c r="F192" s="31" t="e">
        <f>SUMIF(#REF!,"답",#REF!)</f>
        <v>#REF!</v>
      </c>
      <c r="G192" s="30" t="e">
        <f>SUMIF(#REF!,"답",#REF!)</f>
        <v>#REF!</v>
      </c>
      <c r="H192" s="30" t="e">
        <f>SUMIF(#REF!,"답",#REF!)</f>
        <v>#REF!</v>
      </c>
      <c r="I192" s="8" t="s">
        <v>26</v>
      </c>
      <c r="J192" s="31" t="e">
        <f>SUMIF(#REF!,"답",#REF!)</f>
        <v>#REF!</v>
      </c>
      <c r="K192" s="31" t="e">
        <f>SUMIF(#REF!,"답",#REF!)</f>
        <v>#REF!</v>
      </c>
      <c r="L192" s="30" t="e">
        <f>SUMIF(#REF!,"답",#REF!)</f>
        <v>#REF!</v>
      </c>
      <c r="M192" s="30" t="e">
        <f>SUMIF(#REF!,"답",#REF!)</f>
        <v>#REF!</v>
      </c>
      <c r="N192" s="8" t="s">
        <v>26</v>
      </c>
      <c r="O192" s="31" t="e">
        <f>SUMIF(#REF!,"답",#REF!)</f>
        <v>#REF!</v>
      </c>
      <c r="P192" s="31" t="e">
        <f>SUMIF(#REF!,"답",#REF!)</f>
        <v>#REF!</v>
      </c>
      <c r="Q192" s="21" t="e">
        <f t="shared" si="8"/>
        <v>#REF!</v>
      </c>
    </row>
    <row r="193" spans="1:17" s="20" customFormat="1" ht="29.1" hidden="1" customHeight="1" x14ac:dyDescent="0.15">
      <c r="A193" s="54" t="s">
        <v>29</v>
      </c>
      <c r="B193" s="30" t="e">
        <f>SUMIF(#REF!,"대지",#REF!)</f>
        <v>#REF!</v>
      </c>
      <c r="C193" s="30" t="e">
        <f>SUMIF(#REF!,"대지",#REF!)</f>
        <v>#REF!</v>
      </c>
      <c r="D193" s="8" t="s">
        <v>26</v>
      </c>
      <c r="E193" s="31" t="e">
        <f>SUMIF(#REF!,"대지",#REF!)</f>
        <v>#REF!</v>
      </c>
      <c r="F193" s="31" t="e">
        <f>SUMIF(#REF!,"대지",#REF!)</f>
        <v>#REF!</v>
      </c>
      <c r="G193" s="30" t="e">
        <f>SUMIF(#REF!,"대지",#REF!)</f>
        <v>#REF!</v>
      </c>
      <c r="H193" s="30" t="e">
        <f>SUMIF(#REF!,"대지",#REF!)</f>
        <v>#REF!</v>
      </c>
      <c r="I193" s="8" t="s">
        <v>26</v>
      </c>
      <c r="J193" s="31" t="e">
        <f>SUMIF(#REF!,"대지",#REF!)</f>
        <v>#REF!</v>
      </c>
      <c r="K193" s="31" t="e">
        <f>SUMIF(#REF!,"대지",#REF!)</f>
        <v>#REF!</v>
      </c>
      <c r="L193" s="30" t="e">
        <f>SUMIF(#REF!,"대지",#REF!)</f>
        <v>#REF!</v>
      </c>
      <c r="M193" s="30" t="e">
        <f>SUMIF(#REF!,"대지",#REF!)</f>
        <v>#REF!</v>
      </c>
      <c r="N193" s="8" t="s">
        <v>26</v>
      </c>
      <c r="O193" s="31" t="e">
        <f>SUMIF(#REF!,"대지",#REF!)</f>
        <v>#REF!</v>
      </c>
      <c r="P193" s="31" t="e">
        <f>SUMIF(#REF!,"대지",#REF!)</f>
        <v>#REF!</v>
      </c>
      <c r="Q193" s="21" t="e">
        <f t="shared" si="8"/>
        <v>#REF!</v>
      </c>
    </row>
    <row r="194" spans="1:17" s="20" customFormat="1" ht="29.1" hidden="1" customHeight="1" x14ac:dyDescent="0.15">
      <c r="A194" s="54" t="s">
        <v>30</v>
      </c>
      <c r="B194" s="30" t="e">
        <f>SUMIF(#REF!,"임야",#REF!)</f>
        <v>#REF!</v>
      </c>
      <c r="C194" s="30" t="e">
        <f>SUMIF(#REF!,"임야",#REF!)</f>
        <v>#REF!</v>
      </c>
      <c r="D194" s="8" t="s">
        <v>26</v>
      </c>
      <c r="E194" s="31" t="e">
        <f>SUMIF(#REF!,"임야",#REF!)</f>
        <v>#REF!</v>
      </c>
      <c r="F194" s="31" t="e">
        <f>SUMIF(#REF!,"임야",#REF!)</f>
        <v>#REF!</v>
      </c>
      <c r="G194" s="30" t="e">
        <f>SUMIF(#REF!,"임야",#REF!)</f>
        <v>#REF!</v>
      </c>
      <c r="H194" s="30" t="e">
        <f>SUMIF(#REF!,"임야",#REF!)</f>
        <v>#REF!</v>
      </c>
      <c r="I194" s="8" t="s">
        <v>26</v>
      </c>
      <c r="J194" s="31" t="e">
        <f>SUMIF(#REF!,"임야",#REF!)</f>
        <v>#REF!</v>
      </c>
      <c r="K194" s="31" t="e">
        <f>SUMIF(#REF!,"임야",#REF!)</f>
        <v>#REF!</v>
      </c>
      <c r="L194" s="30" t="e">
        <f>SUMIF(#REF!,"임야",#REF!)</f>
        <v>#REF!</v>
      </c>
      <c r="M194" s="30" t="e">
        <f>SUMIF(#REF!,"임야",#REF!)</f>
        <v>#REF!</v>
      </c>
      <c r="N194" s="8" t="s">
        <v>26</v>
      </c>
      <c r="O194" s="31" t="e">
        <f>SUMIF(#REF!,"임야",#REF!)</f>
        <v>#REF!</v>
      </c>
      <c r="P194" s="31" t="e">
        <f>SUMIF(#REF!,"임야",#REF!)</f>
        <v>#REF!</v>
      </c>
      <c r="Q194" s="21" t="e">
        <f t="shared" si="8"/>
        <v>#REF!</v>
      </c>
    </row>
    <row r="195" spans="1:17" s="20" customFormat="1" ht="29.1" hidden="1" customHeight="1" x14ac:dyDescent="0.15">
      <c r="A195" s="54" t="s">
        <v>31</v>
      </c>
      <c r="B195" s="30" t="e">
        <f>SUMIF(#REF!,"도로",#REF!)</f>
        <v>#REF!</v>
      </c>
      <c r="C195" s="30" t="e">
        <f>SUMIF(#REF!,"도로",#REF!)</f>
        <v>#REF!</v>
      </c>
      <c r="D195" s="8" t="s">
        <v>26</v>
      </c>
      <c r="E195" s="31" t="e">
        <f>SUMIF(#REF!,"도로",#REF!)</f>
        <v>#REF!</v>
      </c>
      <c r="F195" s="31" t="e">
        <f>SUMIF(#REF!,"도로",#REF!)</f>
        <v>#REF!</v>
      </c>
      <c r="G195" s="30" t="e">
        <f>SUMIF(#REF!,"도로",#REF!)</f>
        <v>#REF!</v>
      </c>
      <c r="H195" s="30" t="e">
        <f>SUMIF(#REF!,"도로",#REF!)</f>
        <v>#REF!</v>
      </c>
      <c r="I195" s="8" t="s">
        <v>26</v>
      </c>
      <c r="J195" s="31" t="e">
        <f>SUMIF(#REF!,"도로",#REF!)</f>
        <v>#REF!</v>
      </c>
      <c r="K195" s="31" t="e">
        <f>SUMIF(#REF!,"도로",#REF!)</f>
        <v>#REF!</v>
      </c>
      <c r="L195" s="30" t="e">
        <f>SUMIF(#REF!,"도로",#REF!)</f>
        <v>#REF!</v>
      </c>
      <c r="M195" s="30" t="e">
        <f>SUMIF(#REF!,"도로",#REF!)</f>
        <v>#REF!</v>
      </c>
      <c r="N195" s="8" t="s">
        <v>26</v>
      </c>
      <c r="O195" s="31" t="e">
        <f>SUMIF(#REF!,"도로",#REF!)</f>
        <v>#REF!</v>
      </c>
      <c r="P195" s="31" t="e">
        <f>SUMIF(#REF!,"도로",#REF!)</f>
        <v>#REF!</v>
      </c>
      <c r="Q195" s="21" t="e">
        <f t="shared" si="8"/>
        <v>#REF!</v>
      </c>
    </row>
    <row r="196" spans="1:17" s="20" customFormat="1" ht="29.1" hidden="1" customHeight="1" x14ac:dyDescent="0.15">
      <c r="A196" s="54" t="s">
        <v>32</v>
      </c>
      <c r="B196" s="30" t="e">
        <f>SUMIF(#REF!,"하천",#REF!)</f>
        <v>#REF!</v>
      </c>
      <c r="C196" s="30" t="e">
        <f>SUMIF(#REF!,"하천",#REF!)</f>
        <v>#REF!</v>
      </c>
      <c r="D196" s="8" t="s">
        <v>26</v>
      </c>
      <c r="E196" s="31" t="e">
        <f>SUMIF(#REF!,"하천",#REF!)</f>
        <v>#REF!</v>
      </c>
      <c r="F196" s="31" t="e">
        <f>SUMIF(#REF!,"하천",#REF!)</f>
        <v>#REF!</v>
      </c>
      <c r="G196" s="30" t="e">
        <f>SUMIF(#REF!,"하천",#REF!)</f>
        <v>#REF!</v>
      </c>
      <c r="H196" s="30" t="e">
        <f>SUMIF(#REF!,"하천",#REF!)</f>
        <v>#REF!</v>
      </c>
      <c r="I196" s="8" t="s">
        <v>26</v>
      </c>
      <c r="J196" s="31" t="e">
        <f>SUMIF(#REF!,"하천",#REF!)</f>
        <v>#REF!</v>
      </c>
      <c r="K196" s="31" t="e">
        <f>SUMIF(#REF!,"하천",#REF!)</f>
        <v>#REF!</v>
      </c>
      <c r="L196" s="30" t="e">
        <f>SUMIF(#REF!,"하천",#REF!)</f>
        <v>#REF!</v>
      </c>
      <c r="M196" s="30" t="e">
        <f>SUMIF(#REF!,"하천",#REF!)</f>
        <v>#REF!</v>
      </c>
      <c r="N196" s="8" t="s">
        <v>26</v>
      </c>
      <c r="O196" s="31" t="e">
        <f>SUMIF(#REF!,"하천",#REF!)</f>
        <v>#REF!</v>
      </c>
      <c r="P196" s="31" t="e">
        <f>SUMIF(#REF!,"하천",#REF!)</f>
        <v>#REF!</v>
      </c>
      <c r="Q196" s="21" t="e">
        <f t="shared" si="8"/>
        <v>#REF!</v>
      </c>
    </row>
    <row r="197" spans="1:17" s="20" customFormat="1" ht="29.1" hidden="1" customHeight="1" x14ac:dyDescent="0.15">
      <c r="A197" s="54" t="s">
        <v>33</v>
      </c>
      <c r="B197" s="30" t="e">
        <f>SUMIF(#REF!,"구거",#REF!)</f>
        <v>#REF!</v>
      </c>
      <c r="C197" s="30" t="e">
        <f>SUMIF(#REF!,"구거",#REF!)</f>
        <v>#REF!</v>
      </c>
      <c r="D197" s="8" t="s">
        <v>26</v>
      </c>
      <c r="E197" s="31" t="e">
        <f>SUMIF(#REF!,"구거",#REF!)</f>
        <v>#REF!</v>
      </c>
      <c r="F197" s="31" t="e">
        <f>SUMIF(#REF!,"구거",#REF!)</f>
        <v>#REF!</v>
      </c>
      <c r="G197" s="30" t="e">
        <f>SUMIF(#REF!,"구거",#REF!)</f>
        <v>#REF!</v>
      </c>
      <c r="H197" s="30" t="e">
        <f>SUMIF(#REF!,"구거",#REF!)</f>
        <v>#REF!</v>
      </c>
      <c r="I197" s="8" t="s">
        <v>26</v>
      </c>
      <c r="J197" s="31" t="e">
        <f>SUMIF(#REF!,"구거",#REF!)</f>
        <v>#REF!</v>
      </c>
      <c r="K197" s="31" t="e">
        <f>SUMIF(#REF!,"구거",#REF!)</f>
        <v>#REF!</v>
      </c>
      <c r="L197" s="30" t="e">
        <f>SUMIF(#REF!,"구거",#REF!)</f>
        <v>#REF!</v>
      </c>
      <c r="M197" s="30" t="e">
        <f>SUMIF(#REF!,"구거",#REF!)</f>
        <v>#REF!</v>
      </c>
      <c r="N197" s="8" t="s">
        <v>26</v>
      </c>
      <c r="O197" s="31" t="e">
        <f>SUMIF(#REF!,"구거",#REF!)</f>
        <v>#REF!</v>
      </c>
      <c r="P197" s="31" t="e">
        <f>SUMIF(#REF!,"구거",#REF!)</f>
        <v>#REF!</v>
      </c>
      <c r="Q197" s="21" t="e">
        <f t="shared" si="8"/>
        <v>#REF!</v>
      </c>
    </row>
    <row r="198" spans="1:17" s="20" customFormat="1" ht="29.1" hidden="1" customHeight="1" x14ac:dyDescent="0.15">
      <c r="A198" s="54" t="s">
        <v>34</v>
      </c>
      <c r="B198" s="30" t="e">
        <f>SUMIF(#REF!,"제방",#REF!)</f>
        <v>#REF!</v>
      </c>
      <c r="C198" s="34" t="e">
        <f>SUMIF(#REF!,"제방",#REF!)</f>
        <v>#REF!</v>
      </c>
      <c r="D198" s="8" t="s">
        <v>26</v>
      </c>
      <c r="E198" s="31" t="e">
        <f>SUMIF(#REF!,"제방",#REF!)</f>
        <v>#REF!</v>
      </c>
      <c r="F198" s="35" t="e">
        <f>SUMIF(#REF!,"제방",#REF!)</f>
        <v>#REF!</v>
      </c>
      <c r="G198" s="30" t="e">
        <f>SUMIF(#REF!,"제방",#REF!)</f>
        <v>#REF!</v>
      </c>
      <c r="H198" s="30" t="e">
        <f>SUMIF(#REF!,"제방",#REF!)</f>
        <v>#REF!</v>
      </c>
      <c r="I198" s="8" t="s">
        <v>26</v>
      </c>
      <c r="J198" s="31" t="e">
        <f>SUMIF(#REF!,"제방",#REF!)</f>
        <v>#REF!</v>
      </c>
      <c r="K198" s="31" t="e">
        <f>SUMIF(#REF!,"제방",#REF!)</f>
        <v>#REF!</v>
      </c>
      <c r="L198" s="30" t="e">
        <f>SUMIF(#REF!,"제방",#REF!)</f>
        <v>#REF!</v>
      </c>
      <c r="M198" s="30" t="e">
        <f>SUMIF(#REF!,"제방",#REF!)</f>
        <v>#REF!</v>
      </c>
      <c r="N198" s="8" t="s">
        <v>26</v>
      </c>
      <c r="O198" s="31" t="e">
        <f>SUMIF(#REF!,"제방",#REF!)</f>
        <v>#REF!</v>
      </c>
      <c r="P198" s="31" t="e">
        <f>SUMIF(#REF!,"제방",#REF!)</f>
        <v>#REF!</v>
      </c>
      <c r="Q198" s="21" t="e">
        <f t="shared" si="8"/>
        <v>#REF!</v>
      </c>
    </row>
    <row r="199" spans="1:17" s="20" customFormat="1" ht="29.1" hidden="1" customHeight="1" x14ac:dyDescent="0.15">
      <c r="A199" s="54" t="s">
        <v>52</v>
      </c>
      <c r="B199" s="30" t="e">
        <f>SUMIF(#REF!,"유지",#REF!)</f>
        <v>#REF!</v>
      </c>
      <c r="C199" s="34" t="e">
        <f>SUMIF(#REF!,"유지",#REF!)</f>
        <v>#REF!</v>
      </c>
      <c r="D199" s="8" t="s">
        <v>26</v>
      </c>
      <c r="E199" s="31" t="e">
        <f>SUMIF(#REF!,"유지",#REF!)</f>
        <v>#REF!</v>
      </c>
      <c r="F199" s="35" t="e">
        <f>SUMIF(#REF!,"유지",#REF!)</f>
        <v>#REF!</v>
      </c>
      <c r="G199" s="30" t="e">
        <f>SUMIF(#REF!,"유지",#REF!)</f>
        <v>#REF!</v>
      </c>
      <c r="H199" s="30" t="e">
        <f>SUMIF(#REF!,"유지",#REF!)</f>
        <v>#REF!</v>
      </c>
      <c r="I199" s="8" t="s">
        <v>26</v>
      </c>
      <c r="J199" s="31" t="e">
        <f>SUMIF(#REF!,"유지",#REF!)</f>
        <v>#REF!</v>
      </c>
      <c r="K199" s="31" t="e">
        <f>SUMIF(#REF!,"유지",#REF!)</f>
        <v>#REF!</v>
      </c>
      <c r="L199" s="30" t="e">
        <f>SUMIF(#REF!,"유지",#REF!)</f>
        <v>#REF!</v>
      </c>
      <c r="M199" s="30" t="e">
        <f>SUMIF(#REF!,"유지",#REF!)</f>
        <v>#REF!</v>
      </c>
      <c r="N199" s="8" t="s">
        <v>26</v>
      </c>
      <c r="O199" s="31" t="e">
        <f>SUMIF(#REF!,"유지",#REF!)</f>
        <v>#REF!</v>
      </c>
      <c r="P199" s="31" t="e">
        <f>SUMIF(#REF!,"유지",#REF!)</f>
        <v>#REF!</v>
      </c>
      <c r="Q199" s="21" t="e">
        <f t="shared" si="8"/>
        <v>#REF!</v>
      </c>
    </row>
    <row r="200" spans="1:17" s="20" customFormat="1" ht="29.1" hidden="1" customHeight="1" x14ac:dyDescent="0.15">
      <c r="A200" s="54" t="s">
        <v>35</v>
      </c>
      <c r="B200" s="30" t="e">
        <f>SUMIF(#REF!,"잡종지",#REF!)</f>
        <v>#REF!</v>
      </c>
      <c r="C200" s="34" t="e">
        <f>SUMIF(#REF!,"잡종지",#REF!)</f>
        <v>#REF!</v>
      </c>
      <c r="D200" s="8" t="s">
        <v>26</v>
      </c>
      <c r="E200" s="31" t="e">
        <f>SUMIF(#REF!,"잡종지",#REF!)</f>
        <v>#REF!</v>
      </c>
      <c r="F200" s="35" t="e">
        <f>SUMIF(#REF!,"잡종지",#REF!)</f>
        <v>#REF!</v>
      </c>
      <c r="G200" s="30" t="e">
        <f>SUMIF(#REF!,"잡종지",#REF!)</f>
        <v>#REF!</v>
      </c>
      <c r="H200" s="30" t="e">
        <f>SUMIF(#REF!,"잡종지",#REF!)</f>
        <v>#REF!</v>
      </c>
      <c r="I200" s="8" t="s">
        <v>26</v>
      </c>
      <c r="J200" s="31" t="e">
        <f>SUMIF(#REF!,"잡종지",#REF!)</f>
        <v>#REF!</v>
      </c>
      <c r="K200" s="31" t="e">
        <f>SUMIF(#REF!,"잡종지",#REF!)</f>
        <v>#REF!</v>
      </c>
      <c r="L200" s="30" t="e">
        <f>SUMIF(#REF!,"잡종지",#REF!)</f>
        <v>#REF!</v>
      </c>
      <c r="M200" s="30" t="e">
        <f>SUMIF(#REF!,"잡종지",#REF!)</f>
        <v>#REF!</v>
      </c>
      <c r="N200" s="8" t="s">
        <v>26</v>
      </c>
      <c r="O200" s="31" t="e">
        <f>SUMIF(#REF!,"잡종지",#REF!)</f>
        <v>#REF!</v>
      </c>
      <c r="P200" s="31" t="e">
        <f>SUMIF(#REF!,"잡종지",#REF!)</f>
        <v>#REF!</v>
      </c>
      <c r="Q200" s="56" t="e">
        <f t="shared" si="8"/>
        <v>#REF!</v>
      </c>
    </row>
    <row r="201" spans="1:17" s="20" customFormat="1" ht="29.1" hidden="1" customHeight="1" x14ac:dyDescent="0.15">
      <c r="A201" s="54" t="s">
        <v>36</v>
      </c>
      <c r="B201" s="30" t="e">
        <f>SUMIF(#REF!,"묘지",#REF!)</f>
        <v>#REF!</v>
      </c>
      <c r="C201" s="34" t="e">
        <f>SUMIF(#REF!,"묘지",#REF!)</f>
        <v>#REF!</v>
      </c>
      <c r="D201" s="8" t="s">
        <v>26</v>
      </c>
      <c r="E201" s="31" t="e">
        <f>SUMIF(#REF!,"묘지",#REF!)</f>
        <v>#REF!</v>
      </c>
      <c r="F201" s="35" t="e">
        <f>SUMIF(#REF!,"묘지",#REF!)</f>
        <v>#REF!</v>
      </c>
      <c r="G201" s="30" t="e">
        <f>SUMIF(#REF!,"묘지",#REF!)</f>
        <v>#REF!</v>
      </c>
      <c r="H201" s="30" t="e">
        <f>SUMIF(#REF!,"묘지",#REF!)</f>
        <v>#REF!</v>
      </c>
      <c r="I201" s="8" t="s">
        <v>26</v>
      </c>
      <c r="J201" s="31" t="e">
        <f>SUMIF(#REF!,"묘지",#REF!)</f>
        <v>#REF!</v>
      </c>
      <c r="K201" s="31" t="e">
        <f>SUMIF(#REF!,"묘지",#REF!)</f>
        <v>#REF!</v>
      </c>
      <c r="L201" s="30" t="e">
        <f>SUMIF(#REF!,"묘지",#REF!)</f>
        <v>#REF!</v>
      </c>
      <c r="M201" s="30" t="e">
        <f>SUMIF(#REF!,"묘지",#REF!)</f>
        <v>#REF!</v>
      </c>
      <c r="N201" s="8" t="s">
        <v>26</v>
      </c>
      <c r="O201" s="31" t="e">
        <f>SUMIF(#REF!,"묘지",#REF!)</f>
        <v>#REF!</v>
      </c>
      <c r="P201" s="31" t="e">
        <f>SUMIF(#REF!,"묘지",#REF!)</f>
        <v>#REF!</v>
      </c>
      <c r="Q201" s="56" t="e">
        <f t="shared" si="8"/>
        <v>#REF!</v>
      </c>
    </row>
    <row r="202" spans="1:17" s="20" customFormat="1" ht="29.1" hidden="1" customHeight="1" x14ac:dyDescent="0.15">
      <c r="A202" s="54" t="s">
        <v>53</v>
      </c>
      <c r="B202" s="30" t="e">
        <f>SUMIF(#REF!,"과수원",#REF!)</f>
        <v>#REF!</v>
      </c>
      <c r="C202" s="34" t="e">
        <f>SUMIF(#REF!,"과수원",#REF!)</f>
        <v>#REF!</v>
      </c>
      <c r="D202" s="8" t="s">
        <v>26</v>
      </c>
      <c r="E202" s="31" t="e">
        <f>SUMIF(#REF!,"과수원",#REF!)</f>
        <v>#REF!</v>
      </c>
      <c r="F202" s="35" t="e">
        <f>SUMIF(#REF!,"과수원",#REF!)</f>
        <v>#REF!</v>
      </c>
      <c r="G202" s="30" t="e">
        <f>SUMIF(#REF!,"과수원",#REF!)</f>
        <v>#REF!</v>
      </c>
      <c r="H202" s="30" t="e">
        <f>SUMIF(#REF!,"과수원",#REF!)</f>
        <v>#REF!</v>
      </c>
      <c r="I202" s="8" t="s">
        <v>26</v>
      </c>
      <c r="J202" s="31" t="e">
        <f>SUMIF(#REF!,"과수원",#REF!)</f>
        <v>#REF!</v>
      </c>
      <c r="K202" s="31" t="e">
        <f>SUMIF(#REF!,"과수원",#REF!)</f>
        <v>#REF!</v>
      </c>
      <c r="L202" s="30" t="e">
        <f>SUMIF(#REF!,"과수원",#REF!)</f>
        <v>#REF!</v>
      </c>
      <c r="M202" s="30" t="e">
        <f>SUMIF(#REF!,"과수원",#REF!)</f>
        <v>#REF!</v>
      </c>
      <c r="N202" s="8" t="s">
        <v>26</v>
      </c>
      <c r="O202" s="31" t="e">
        <f>SUMIF(#REF!,"과수원",#REF!)</f>
        <v>#REF!</v>
      </c>
      <c r="P202" s="31" t="e">
        <f>SUMIF(#REF!,"과수원",#REF!)</f>
        <v>#REF!</v>
      </c>
      <c r="Q202" s="56" t="e">
        <f t="shared" si="8"/>
        <v>#REF!</v>
      </c>
    </row>
    <row r="203" spans="1:17" s="20" customFormat="1" ht="29.1" hidden="1" customHeight="1" x14ac:dyDescent="0.15">
      <c r="A203" s="54" t="s">
        <v>54</v>
      </c>
      <c r="B203" s="30" t="e">
        <f>SUMIF(#REF!,"철도",#REF!)</f>
        <v>#REF!</v>
      </c>
      <c r="C203" s="34" t="e">
        <f>SUMIF(#REF!,"철도",#REF!)</f>
        <v>#REF!</v>
      </c>
      <c r="D203" s="8" t="s">
        <v>26</v>
      </c>
      <c r="E203" s="31" t="e">
        <f>SUMIF(#REF!,"철도",#REF!)</f>
        <v>#REF!</v>
      </c>
      <c r="F203" s="35" t="e">
        <f>SUMIF(#REF!,"철도",#REF!)</f>
        <v>#REF!</v>
      </c>
      <c r="G203" s="30" t="e">
        <f>SUMIF(#REF!,"철도",#REF!)</f>
        <v>#REF!</v>
      </c>
      <c r="H203" s="30" t="e">
        <f>SUMIF(#REF!,"철도",#REF!)</f>
        <v>#REF!</v>
      </c>
      <c r="I203" s="8" t="s">
        <v>26</v>
      </c>
      <c r="J203" s="31" t="e">
        <f>SUMIF(#REF!,"철도",#REF!)</f>
        <v>#REF!</v>
      </c>
      <c r="K203" s="31" t="e">
        <f>SUMIF(#REF!,"철도",#REF!)</f>
        <v>#REF!</v>
      </c>
      <c r="L203" s="30" t="e">
        <f>SUMIF(#REF!,"철도",#REF!)</f>
        <v>#REF!</v>
      </c>
      <c r="M203" s="30" t="e">
        <f>SUMIF(#REF!,"철도",#REF!)</f>
        <v>#REF!</v>
      </c>
      <c r="N203" s="8" t="s">
        <v>26</v>
      </c>
      <c r="O203" s="31" t="e">
        <f>SUMIF(#REF!,"철도",#REF!)</f>
        <v>#REF!</v>
      </c>
      <c r="P203" s="31" t="e">
        <f>SUMIF(#REF!,"철도",#REF!)</f>
        <v>#REF!</v>
      </c>
      <c r="Q203" s="56" t="e">
        <f t="shared" si="8"/>
        <v>#REF!</v>
      </c>
    </row>
    <row r="204" spans="1:17" s="20" customFormat="1" ht="29.1" hidden="1" customHeight="1" x14ac:dyDescent="0.15">
      <c r="A204" s="54" t="s">
        <v>38</v>
      </c>
      <c r="B204" s="30" t="e">
        <f>SUMIF(#REF!,"학교용지",#REF!)</f>
        <v>#REF!</v>
      </c>
      <c r="C204" s="34" t="e">
        <f>SUMIF(#REF!,"학교용지",#REF!)</f>
        <v>#REF!</v>
      </c>
      <c r="D204" s="8" t="s">
        <v>26</v>
      </c>
      <c r="E204" s="31" t="e">
        <f>SUMIF(#REF!,"학교용지",#REF!)</f>
        <v>#REF!</v>
      </c>
      <c r="F204" s="35" t="e">
        <f>SUMIF(#REF!,"학교용지",#REF!)</f>
        <v>#REF!</v>
      </c>
      <c r="G204" s="30" t="e">
        <f>SUMIF(#REF!,"학교용지",#REF!)</f>
        <v>#REF!</v>
      </c>
      <c r="H204" s="30" t="e">
        <f>SUMIF(#REF!,"학교용지",#REF!)</f>
        <v>#REF!</v>
      </c>
      <c r="I204" s="8" t="s">
        <v>26</v>
      </c>
      <c r="J204" s="31" t="e">
        <f>SUMIF(#REF!,"학교용지",#REF!)</f>
        <v>#REF!</v>
      </c>
      <c r="K204" s="31" t="e">
        <f>SUMIF(#REF!,"학교용지",#REF!)</f>
        <v>#REF!</v>
      </c>
      <c r="L204" s="30" t="e">
        <f>SUMIF(#REF!,"학교용지",#REF!)</f>
        <v>#REF!</v>
      </c>
      <c r="M204" s="30" t="e">
        <f>SUMIF(#REF!,"학교용지",#REF!)</f>
        <v>#REF!</v>
      </c>
      <c r="N204" s="8" t="s">
        <v>26</v>
      </c>
      <c r="O204" s="31" t="e">
        <f>SUMIF(#REF!,"학교용지",#REF!)</f>
        <v>#REF!</v>
      </c>
      <c r="P204" s="31" t="e">
        <f>SUMIF(#REF!,"학교용지",#REF!)</f>
        <v>#REF!</v>
      </c>
      <c r="Q204" s="56" t="e">
        <f t="shared" si="8"/>
        <v>#REF!</v>
      </c>
    </row>
    <row r="205" spans="1:17" s="20" customFormat="1" ht="29.1" hidden="1" customHeight="1" x14ac:dyDescent="0.15">
      <c r="A205" s="54" t="s">
        <v>55</v>
      </c>
      <c r="B205" s="30" t="e">
        <f>SUMIF(#REF!,"수도",#REF!)</f>
        <v>#REF!</v>
      </c>
      <c r="C205" s="34" t="e">
        <f>SUMIF(#REF!,"수도",#REF!)</f>
        <v>#REF!</v>
      </c>
      <c r="D205" s="8" t="s">
        <v>26</v>
      </c>
      <c r="E205" s="31" t="e">
        <f>SUMIF(#REF!,"수도",#REF!)</f>
        <v>#REF!</v>
      </c>
      <c r="F205" s="35" t="e">
        <f>SUMIF(#REF!,"수도",#REF!)</f>
        <v>#REF!</v>
      </c>
      <c r="G205" s="30" t="e">
        <f>SUMIF(#REF!,"수도",#REF!)</f>
        <v>#REF!</v>
      </c>
      <c r="H205" s="30" t="e">
        <f>SUMIF(#REF!,"수도",#REF!)</f>
        <v>#REF!</v>
      </c>
      <c r="I205" s="8" t="s">
        <v>26</v>
      </c>
      <c r="J205" s="31" t="e">
        <f>SUMIF(#REF!,"수도",#REF!)</f>
        <v>#REF!</v>
      </c>
      <c r="K205" s="31" t="e">
        <f>SUMIF(#REF!,"수도",#REF!)</f>
        <v>#REF!</v>
      </c>
      <c r="L205" s="30" t="e">
        <f>SUMIF(#REF!,"수도",#REF!)</f>
        <v>#REF!</v>
      </c>
      <c r="M205" s="30" t="e">
        <f>SUMIF(#REF!,"수도",#REF!)</f>
        <v>#REF!</v>
      </c>
      <c r="N205" s="8" t="s">
        <v>26</v>
      </c>
      <c r="O205" s="31" t="e">
        <f>SUMIF(#REF!,"수도",#REF!)</f>
        <v>#REF!</v>
      </c>
      <c r="P205" s="31" t="e">
        <f>SUMIF(#REF!,"수도",#REF!)</f>
        <v>#REF!</v>
      </c>
      <c r="Q205" s="56" t="e">
        <f t="shared" si="8"/>
        <v>#REF!</v>
      </c>
    </row>
    <row r="206" spans="1:17" s="20" customFormat="1" ht="29.1" hidden="1" customHeight="1" x14ac:dyDescent="0.15">
      <c r="A206" s="54" t="s">
        <v>40</v>
      </c>
      <c r="B206" s="30" t="e">
        <f>SUMIF(#REF!,"공장",#REF!)</f>
        <v>#REF!</v>
      </c>
      <c r="C206" s="34" t="e">
        <f>SUMIF(#REF!,"공장",#REF!)</f>
        <v>#REF!</v>
      </c>
      <c r="D206" s="8" t="s">
        <v>26</v>
      </c>
      <c r="E206" s="31" t="e">
        <f>SUMIF(#REF!,"공장",#REF!)</f>
        <v>#REF!</v>
      </c>
      <c r="F206" s="35" t="e">
        <f>SUMIF(#REF!,"공장",#REF!)</f>
        <v>#REF!</v>
      </c>
      <c r="G206" s="30" t="e">
        <f>SUMIF(#REF!,"공장",#REF!)</f>
        <v>#REF!</v>
      </c>
      <c r="H206" s="30" t="e">
        <f>SUMIF(#REF!,"공장",#REF!)</f>
        <v>#REF!</v>
      </c>
      <c r="I206" s="8" t="s">
        <v>26</v>
      </c>
      <c r="J206" s="31" t="e">
        <f>SUMIF(#REF!,"공장",#REF!)</f>
        <v>#REF!</v>
      </c>
      <c r="K206" s="31" t="e">
        <f>SUMIF(#REF!,"공장",#REF!)</f>
        <v>#REF!</v>
      </c>
      <c r="L206" s="30" t="e">
        <f>SUMIF(#REF!,"공장",#REF!)</f>
        <v>#REF!</v>
      </c>
      <c r="M206" s="30" t="e">
        <f>SUMIF(#REF!,"공장",#REF!)</f>
        <v>#REF!</v>
      </c>
      <c r="N206" s="8" t="s">
        <v>26</v>
      </c>
      <c r="O206" s="31" t="e">
        <f>SUMIF(#REF!,"공장",#REF!)</f>
        <v>#REF!</v>
      </c>
      <c r="P206" s="31" t="e">
        <f>SUMIF(#REF!,"공장",#REF!)</f>
        <v>#REF!</v>
      </c>
      <c r="Q206" s="56" t="e">
        <f t="shared" si="8"/>
        <v>#REF!</v>
      </c>
    </row>
    <row r="207" spans="1:17" s="20" customFormat="1" ht="29.1" hidden="1" customHeight="1" x14ac:dyDescent="0.15">
      <c r="A207" s="55" t="s">
        <v>56</v>
      </c>
      <c r="B207" s="32" t="e">
        <f>SUMIF(#REF!,"기타",#REF!)</f>
        <v>#REF!</v>
      </c>
      <c r="C207" s="38" t="e">
        <f>SUMIF(#REF!,"기타",#REF!)</f>
        <v>#REF!</v>
      </c>
      <c r="D207" s="22" t="s">
        <v>26</v>
      </c>
      <c r="E207" s="33" t="e">
        <f>SUMIF(#REF!,"기타",#REF!)</f>
        <v>#REF!</v>
      </c>
      <c r="F207" s="39" t="e">
        <f>SUMIF(#REF!,"기타",#REF!)</f>
        <v>#REF!</v>
      </c>
      <c r="G207" s="32" t="e">
        <f>SUMIF(#REF!,"기타",#REF!)</f>
        <v>#REF!</v>
      </c>
      <c r="H207" s="32" t="e">
        <f>SUMIF(#REF!,"기타",#REF!)</f>
        <v>#REF!</v>
      </c>
      <c r="I207" s="22" t="s">
        <v>26</v>
      </c>
      <c r="J207" s="33" t="e">
        <f>SUMIF(#REF!,"기타",#REF!)</f>
        <v>#REF!</v>
      </c>
      <c r="K207" s="33" t="e">
        <f>SUMIF(#REF!,"기타",#REF!)</f>
        <v>#REF!</v>
      </c>
      <c r="L207" s="32" t="e">
        <f>SUMIF(#REF!,"기타",#REF!)</f>
        <v>#REF!</v>
      </c>
      <c r="M207" s="32" t="e">
        <f>SUMIF(#REF!,"기타",#REF!)</f>
        <v>#REF!</v>
      </c>
      <c r="N207" s="22" t="s">
        <v>26</v>
      </c>
      <c r="O207" s="33" t="e">
        <f>SUMIF(#REF!,"기타",#REF!)</f>
        <v>#REF!</v>
      </c>
      <c r="P207" s="33" t="e">
        <f>SUMIF(#REF!,"기타",#REF!)</f>
        <v>#REF!</v>
      </c>
      <c r="Q207" s="81" t="e">
        <f t="shared" si="8"/>
        <v>#REF!</v>
      </c>
    </row>
    <row r="208" spans="1:17" ht="24.95" hidden="1" customHeight="1" x14ac:dyDescent="0.15">
      <c r="A208" s="40" t="s">
        <v>65</v>
      </c>
      <c r="B208" s="1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spans="1:17" s="20" customFormat="1" ht="20.100000000000001" hidden="1" customHeight="1" x14ac:dyDescent="0.15">
      <c r="A209" s="52"/>
      <c r="B209" s="5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53"/>
    </row>
    <row r="210" spans="1:17" s="20" customFormat="1" ht="29.1" hidden="1" customHeight="1" x14ac:dyDescent="0.15">
      <c r="A210" s="1064" t="s">
        <v>23</v>
      </c>
      <c r="B210" s="25" t="s">
        <v>24</v>
      </c>
      <c r="C210" s="25"/>
      <c r="D210" s="25"/>
      <c r="E210" s="25"/>
      <c r="F210" s="47"/>
      <c r="G210" s="25" t="s">
        <v>57</v>
      </c>
      <c r="H210" s="25"/>
      <c r="I210" s="25"/>
      <c r="J210" s="25"/>
      <c r="K210" s="47"/>
      <c r="L210" s="25" t="s">
        <v>41</v>
      </c>
      <c r="M210" s="25"/>
      <c r="N210" s="25"/>
      <c r="O210" s="25"/>
      <c r="P210" s="25"/>
      <c r="Q210" s="1067" t="s">
        <v>66</v>
      </c>
    </row>
    <row r="211" spans="1:17" s="20" customFormat="1" ht="29.1" hidden="1" customHeight="1" x14ac:dyDescent="0.15">
      <c r="A211" s="1065"/>
      <c r="B211" s="1070" t="s">
        <v>63</v>
      </c>
      <c r="C211" s="1072"/>
      <c r="D211" s="36" t="s">
        <v>26</v>
      </c>
      <c r="E211" s="1071" t="s">
        <v>43</v>
      </c>
      <c r="F211" s="1072"/>
      <c r="G211" s="1070" t="s">
        <v>63</v>
      </c>
      <c r="H211" s="1072"/>
      <c r="I211" s="36" t="s">
        <v>26</v>
      </c>
      <c r="J211" s="1071" t="s">
        <v>43</v>
      </c>
      <c r="K211" s="1072"/>
      <c r="L211" s="1070" t="s">
        <v>63</v>
      </c>
      <c r="M211" s="1072"/>
      <c r="N211" s="36" t="s">
        <v>26</v>
      </c>
      <c r="O211" s="1071" t="s">
        <v>43</v>
      </c>
      <c r="P211" s="1072"/>
      <c r="Q211" s="1068"/>
    </row>
    <row r="212" spans="1:17" s="20" customFormat="1" ht="29.1" hidden="1" customHeight="1" x14ac:dyDescent="0.15">
      <c r="A212" s="1066"/>
      <c r="B212" s="46" t="s">
        <v>61</v>
      </c>
      <c r="C212" s="89" t="s">
        <v>62</v>
      </c>
      <c r="D212" s="44" t="s">
        <v>26</v>
      </c>
      <c r="E212" s="44" t="s">
        <v>61</v>
      </c>
      <c r="F212" s="46" t="s">
        <v>62</v>
      </c>
      <c r="G212" s="46" t="s">
        <v>61</v>
      </c>
      <c r="H212" s="89" t="s">
        <v>62</v>
      </c>
      <c r="I212" s="44" t="s">
        <v>26</v>
      </c>
      <c r="J212" s="44" t="s">
        <v>61</v>
      </c>
      <c r="K212" s="46" t="s">
        <v>62</v>
      </c>
      <c r="L212" s="46" t="s">
        <v>61</v>
      </c>
      <c r="M212" s="89" t="s">
        <v>62</v>
      </c>
      <c r="N212" s="44" t="s">
        <v>26</v>
      </c>
      <c r="O212" s="44" t="s">
        <v>61</v>
      </c>
      <c r="P212" s="46" t="s">
        <v>62</v>
      </c>
      <c r="Q212" s="1069"/>
    </row>
    <row r="213" spans="1:17" s="20" customFormat="1" ht="29.1" hidden="1" customHeight="1" x14ac:dyDescent="0.15">
      <c r="A213" s="85" t="s">
        <v>24</v>
      </c>
      <c r="B213" s="27" t="e">
        <f>SUMIF(#REF!,"계",#REF!)</f>
        <v>#REF!</v>
      </c>
      <c r="C213" s="90" t="e">
        <f>SUMIF(#REF!,"계",#REF!)</f>
        <v>#REF!</v>
      </c>
      <c r="D213" s="28" t="s">
        <v>26</v>
      </c>
      <c r="E213" s="29" t="e">
        <f>SUMIF(#REF!,"계",#REF!)</f>
        <v>#REF!</v>
      </c>
      <c r="F213" s="29" t="e">
        <f>SUMIF(#REF!,"계",#REF!)</f>
        <v>#REF!</v>
      </c>
      <c r="G213" s="27" t="e">
        <f>SUMIF(#REF!,"계",#REF!)</f>
        <v>#REF!</v>
      </c>
      <c r="H213" s="90" t="e">
        <f>SUMIF(#REF!,"계",#REF!)</f>
        <v>#REF!</v>
      </c>
      <c r="I213" s="28" t="s">
        <v>26</v>
      </c>
      <c r="J213" s="29" t="e">
        <f>SUMIF(#REF!,"계",#REF!)</f>
        <v>#REF!</v>
      </c>
      <c r="K213" s="29" t="e">
        <f>SUMIF(#REF!,"계",#REF!)</f>
        <v>#REF!</v>
      </c>
      <c r="L213" s="27" t="e">
        <f>SUMIF(#REF!,"계",#REF!)</f>
        <v>#REF!</v>
      </c>
      <c r="M213" s="90" t="e">
        <f>SUMIF(#REF!,"계",#REF!)</f>
        <v>#REF!</v>
      </c>
      <c r="N213" s="28" t="s">
        <v>26</v>
      </c>
      <c r="O213" s="29" t="e">
        <f>SUMIF(#REF!,"계",#REF!)</f>
        <v>#REF!</v>
      </c>
      <c r="P213" s="29" t="e">
        <f>SUMIF(#REF!,"계",#REF!)</f>
        <v>#REF!</v>
      </c>
      <c r="Q213" s="88" t="e">
        <f>F213-E213</f>
        <v>#REF!</v>
      </c>
    </row>
    <row r="214" spans="1:17" s="20" customFormat="1" ht="29.1" hidden="1" customHeight="1" x14ac:dyDescent="0.15">
      <c r="A214" s="54" t="s">
        <v>27</v>
      </c>
      <c r="B214" s="30" t="e">
        <f>SUMIF(#REF!,"전",#REF!)</f>
        <v>#REF!</v>
      </c>
      <c r="C214" s="91" t="e">
        <f>SUMIF(#REF!,"전",#REF!)</f>
        <v>#REF!</v>
      </c>
      <c r="D214" s="8" t="s">
        <v>26</v>
      </c>
      <c r="E214" s="31" t="e">
        <f>SUMIF(#REF!,"전",#REF!)</f>
        <v>#REF!</v>
      </c>
      <c r="F214" s="31" t="e">
        <f>SUMIF(#REF!,"전",#REF!)</f>
        <v>#REF!</v>
      </c>
      <c r="G214" s="30" t="e">
        <f>SUMIF(#REF!,"전",#REF!)</f>
        <v>#REF!</v>
      </c>
      <c r="H214" s="91" t="e">
        <f>SUMIF(#REF!,"전",#REF!)</f>
        <v>#REF!</v>
      </c>
      <c r="I214" s="8" t="s">
        <v>26</v>
      </c>
      <c r="J214" s="31" t="e">
        <f>SUMIF(#REF!,"전",#REF!)</f>
        <v>#REF!</v>
      </c>
      <c r="K214" s="31" t="e">
        <f>SUMIF(#REF!,"전",#REF!)</f>
        <v>#REF!</v>
      </c>
      <c r="L214" s="30" t="e">
        <f>SUMIF(#REF!,"전",#REF!)</f>
        <v>#REF!</v>
      </c>
      <c r="M214" s="91" t="e">
        <f>SUMIF(#REF!,"전",#REF!)</f>
        <v>#REF!</v>
      </c>
      <c r="N214" s="8" t="s">
        <v>26</v>
      </c>
      <c r="O214" s="31" t="e">
        <f>SUMIF(#REF!,"전",#REF!)</f>
        <v>#REF!</v>
      </c>
      <c r="P214" s="31" t="e">
        <f>SUMIF(#REF!,"전",#REF!)</f>
        <v>#REF!</v>
      </c>
      <c r="Q214" s="21" t="e">
        <f t="shared" ref="Q214:Q230" si="9">F214-E214</f>
        <v>#REF!</v>
      </c>
    </row>
    <row r="215" spans="1:17" s="20" customFormat="1" ht="29.1" hidden="1" customHeight="1" x14ac:dyDescent="0.15">
      <c r="A215" s="54" t="s">
        <v>28</v>
      </c>
      <c r="B215" s="30" t="e">
        <f>SUMIF(#REF!,"답",#REF!)</f>
        <v>#REF!</v>
      </c>
      <c r="C215" s="91" t="e">
        <f>SUMIF(#REF!,"답",#REF!)</f>
        <v>#REF!</v>
      </c>
      <c r="D215" s="8" t="s">
        <v>26</v>
      </c>
      <c r="E215" s="31" t="e">
        <f>SUMIF(#REF!,"답",#REF!)</f>
        <v>#REF!</v>
      </c>
      <c r="F215" s="31" t="e">
        <f>SUMIF(#REF!,"답",#REF!)</f>
        <v>#REF!</v>
      </c>
      <c r="G215" s="30" t="e">
        <f>SUMIF(#REF!,"답",#REF!)</f>
        <v>#REF!</v>
      </c>
      <c r="H215" s="91" t="e">
        <f>SUMIF(#REF!,"답",#REF!)</f>
        <v>#REF!</v>
      </c>
      <c r="I215" s="8" t="s">
        <v>26</v>
      </c>
      <c r="J215" s="31" t="e">
        <f>SUMIF(#REF!,"답",#REF!)</f>
        <v>#REF!</v>
      </c>
      <c r="K215" s="31" t="e">
        <f>SUMIF(#REF!,"답",#REF!)</f>
        <v>#REF!</v>
      </c>
      <c r="L215" s="30" t="e">
        <f>SUMIF(#REF!,"답",#REF!)</f>
        <v>#REF!</v>
      </c>
      <c r="M215" s="91" t="e">
        <f>SUMIF(#REF!,"답",#REF!)</f>
        <v>#REF!</v>
      </c>
      <c r="N215" s="8" t="s">
        <v>26</v>
      </c>
      <c r="O215" s="31" t="e">
        <f>SUMIF(#REF!,"답",#REF!)</f>
        <v>#REF!</v>
      </c>
      <c r="P215" s="31" t="e">
        <f>SUMIF(#REF!,"답",#REF!)</f>
        <v>#REF!</v>
      </c>
      <c r="Q215" s="87" t="e">
        <f t="shared" si="9"/>
        <v>#REF!</v>
      </c>
    </row>
    <row r="216" spans="1:17" s="20" customFormat="1" ht="29.1" hidden="1" customHeight="1" x14ac:dyDescent="0.15">
      <c r="A216" s="54" t="s">
        <v>29</v>
      </c>
      <c r="B216" s="30" t="e">
        <f>SUMIF(#REF!,"대지",#REF!)</f>
        <v>#REF!</v>
      </c>
      <c r="C216" s="91" t="e">
        <f>SUMIF(#REF!,"대지",#REF!)</f>
        <v>#REF!</v>
      </c>
      <c r="D216" s="8" t="s">
        <v>26</v>
      </c>
      <c r="E216" s="31" t="e">
        <f>SUMIF(#REF!,"대지",#REF!)</f>
        <v>#REF!</v>
      </c>
      <c r="F216" s="31" t="e">
        <f>SUMIF(#REF!,"대지",#REF!)</f>
        <v>#REF!</v>
      </c>
      <c r="G216" s="30" t="e">
        <f>SUMIF(#REF!,"대지",#REF!)</f>
        <v>#REF!</v>
      </c>
      <c r="H216" s="91" t="e">
        <f>SUMIF(#REF!,"대지",#REF!)</f>
        <v>#REF!</v>
      </c>
      <c r="I216" s="8" t="s">
        <v>26</v>
      </c>
      <c r="J216" s="31" t="e">
        <f>SUMIF(#REF!,"대지",#REF!)</f>
        <v>#REF!</v>
      </c>
      <c r="K216" s="31" t="e">
        <f>SUMIF(#REF!,"대지",#REF!)</f>
        <v>#REF!</v>
      </c>
      <c r="L216" s="30" t="e">
        <f>SUMIF(#REF!,"대지",#REF!)</f>
        <v>#REF!</v>
      </c>
      <c r="M216" s="91" t="e">
        <f>SUMIF(#REF!,"대지",#REF!)</f>
        <v>#REF!</v>
      </c>
      <c r="N216" s="8" t="s">
        <v>26</v>
      </c>
      <c r="O216" s="31" t="e">
        <f>SUMIF(#REF!,"대지",#REF!)</f>
        <v>#REF!</v>
      </c>
      <c r="P216" s="31" t="e">
        <f>SUMIF(#REF!,"대지",#REF!)</f>
        <v>#REF!</v>
      </c>
      <c r="Q216" s="21" t="e">
        <f t="shared" si="9"/>
        <v>#REF!</v>
      </c>
    </row>
    <row r="217" spans="1:17" s="20" customFormat="1" ht="29.1" hidden="1" customHeight="1" x14ac:dyDescent="0.15">
      <c r="A217" s="54" t="s">
        <v>30</v>
      </c>
      <c r="B217" s="30" t="e">
        <f>SUMIF(#REF!,"임야",#REF!)</f>
        <v>#REF!</v>
      </c>
      <c r="C217" s="91" t="e">
        <f>SUMIF(#REF!,"임야",#REF!)</f>
        <v>#REF!</v>
      </c>
      <c r="D217" s="8" t="s">
        <v>26</v>
      </c>
      <c r="E217" s="31" t="e">
        <f>SUMIF(#REF!,"임야",#REF!)</f>
        <v>#REF!</v>
      </c>
      <c r="F217" s="31" t="e">
        <f>SUMIF(#REF!,"임야",#REF!)</f>
        <v>#REF!</v>
      </c>
      <c r="G217" s="30" t="e">
        <f>SUMIF(#REF!,"임야",#REF!)</f>
        <v>#REF!</v>
      </c>
      <c r="H217" s="91" t="e">
        <f>SUMIF(#REF!,"임야",#REF!)</f>
        <v>#REF!</v>
      </c>
      <c r="I217" s="8" t="s">
        <v>26</v>
      </c>
      <c r="J217" s="31" t="e">
        <f>SUMIF(#REF!,"임야",#REF!)</f>
        <v>#REF!</v>
      </c>
      <c r="K217" s="31" t="e">
        <f>SUMIF(#REF!,"임야",#REF!)</f>
        <v>#REF!</v>
      </c>
      <c r="L217" s="30" t="e">
        <f>SUMIF(#REF!,"임야",#REF!)</f>
        <v>#REF!</v>
      </c>
      <c r="M217" s="91" t="e">
        <f>SUMIF(#REF!,"임야",#REF!)</f>
        <v>#REF!</v>
      </c>
      <c r="N217" s="8" t="s">
        <v>26</v>
      </c>
      <c r="O217" s="31" t="e">
        <f>SUMIF(#REF!,"임야",#REF!)</f>
        <v>#REF!</v>
      </c>
      <c r="P217" s="31" t="e">
        <f>SUMIF(#REF!,"임야",#REF!)</f>
        <v>#REF!</v>
      </c>
      <c r="Q217" s="21" t="e">
        <f t="shared" si="9"/>
        <v>#REF!</v>
      </c>
    </row>
    <row r="218" spans="1:17" s="20" customFormat="1" ht="29.1" hidden="1" customHeight="1" x14ac:dyDescent="0.15">
      <c r="A218" s="54" t="s">
        <v>31</v>
      </c>
      <c r="B218" s="30" t="e">
        <f>SUMIF(#REF!,"도로",#REF!)</f>
        <v>#REF!</v>
      </c>
      <c r="C218" s="91" t="e">
        <f>SUMIF(#REF!,"도로",#REF!)</f>
        <v>#REF!</v>
      </c>
      <c r="D218" s="8" t="s">
        <v>26</v>
      </c>
      <c r="E218" s="31" t="e">
        <f>SUMIF(#REF!,"도로",#REF!)</f>
        <v>#REF!</v>
      </c>
      <c r="F218" s="31" t="e">
        <f>SUMIF(#REF!,"도로",#REF!)</f>
        <v>#REF!</v>
      </c>
      <c r="G218" s="30" t="e">
        <f>SUMIF(#REF!,"도로",#REF!)</f>
        <v>#REF!</v>
      </c>
      <c r="H218" s="91" t="e">
        <f>SUMIF(#REF!,"도로",#REF!)</f>
        <v>#REF!</v>
      </c>
      <c r="I218" s="8" t="s">
        <v>26</v>
      </c>
      <c r="J218" s="31" t="e">
        <f>SUMIF(#REF!,"도로",#REF!)</f>
        <v>#REF!</v>
      </c>
      <c r="K218" s="31" t="e">
        <f>SUMIF(#REF!,"도로",#REF!)</f>
        <v>#REF!</v>
      </c>
      <c r="L218" s="30" t="e">
        <f>SUMIF(#REF!,"도로",#REF!)</f>
        <v>#REF!</v>
      </c>
      <c r="M218" s="91" t="e">
        <f>SUMIF(#REF!,"도로",#REF!)</f>
        <v>#REF!</v>
      </c>
      <c r="N218" s="8" t="s">
        <v>26</v>
      </c>
      <c r="O218" s="31" t="e">
        <f>SUMIF(#REF!,"도로",#REF!)</f>
        <v>#REF!</v>
      </c>
      <c r="P218" s="31" t="e">
        <f>SUMIF(#REF!,"도로",#REF!)</f>
        <v>#REF!</v>
      </c>
      <c r="Q218" s="21" t="e">
        <f t="shared" si="9"/>
        <v>#REF!</v>
      </c>
    </row>
    <row r="219" spans="1:17" s="20" customFormat="1" ht="29.1" hidden="1" customHeight="1" x14ac:dyDescent="0.15">
      <c r="A219" s="54" t="s">
        <v>32</v>
      </c>
      <c r="B219" s="30" t="e">
        <f>SUMIF(#REF!,"하천",#REF!)</f>
        <v>#REF!</v>
      </c>
      <c r="C219" s="91" t="e">
        <f>SUMIF(#REF!,"하천",#REF!)</f>
        <v>#REF!</v>
      </c>
      <c r="D219" s="8" t="s">
        <v>26</v>
      </c>
      <c r="E219" s="31" t="e">
        <f>SUMIF(#REF!,"하천",#REF!)</f>
        <v>#REF!</v>
      </c>
      <c r="F219" s="31" t="e">
        <f>SUMIF(#REF!,"하천",#REF!)</f>
        <v>#REF!</v>
      </c>
      <c r="G219" s="30" t="e">
        <f>SUMIF(#REF!,"하천",#REF!)</f>
        <v>#REF!</v>
      </c>
      <c r="H219" s="91" t="e">
        <f>SUMIF(#REF!,"하천",#REF!)</f>
        <v>#REF!</v>
      </c>
      <c r="I219" s="8" t="s">
        <v>26</v>
      </c>
      <c r="J219" s="31" t="e">
        <f>SUMIF(#REF!,"하천",#REF!)</f>
        <v>#REF!</v>
      </c>
      <c r="K219" s="31" t="e">
        <f>SUMIF(#REF!,"하천",#REF!)</f>
        <v>#REF!</v>
      </c>
      <c r="L219" s="30" t="e">
        <f>SUMIF(#REF!,"하천",#REF!)</f>
        <v>#REF!</v>
      </c>
      <c r="M219" s="91" t="e">
        <f>SUMIF(#REF!,"하천",#REF!)</f>
        <v>#REF!</v>
      </c>
      <c r="N219" s="8" t="s">
        <v>26</v>
      </c>
      <c r="O219" s="31" t="e">
        <f>SUMIF(#REF!,"하천",#REF!)</f>
        <v>#REF!</v>
      </c>
      <c r="P219" s="31" t="e">
        <f>SUMIF(#REF!,"하천",#REF!)</f>
        <v>#REF!</v>
      </c>
      <c r="Q219" s="21" t="e">
        <f t="shared" si="9"/>
        <v>#REF!</v>
      </c>
    </row>
    <row r="220" spans="1:17" s="20" customFormat="1" ht="29.1" hidden="1" customHeight="1" x14ac:dyDescent="0.15">
      <c r="A220" s="54" t="s">
        <v>33</v>
      </c>
      <c r="B220" s="30" t="e">
        <f>SUMIF(#REF!,"구거",#REF!)</f>
        <v>#REF!</v>
      </c>
      <c r="C220" s="91" t="e">
        <f>SUMIF(#REF!,"구거",#REF!)</f>
        <v>#REF!</v>
      </c>
      <c r="D220" s="8" t="s">
        <v>26</v>
      </c>
      <c r="E220" s="31" t="e">
        <f>SUMIF(#REF!,"구거",#REF!)</f>
        <v>#REF!</v>
      </c>
      <c r="F220" s="31" t="e">
        <f>SUMIF(#REF!,"구거",#REF!)</f>
        <v>#REF!</v>
      </c>
      <c r="G220" s="30" t="e">
        <f>SUMIF(#REF!,"구거",#REF!)</f>
        <v>#REF!</v>
      </c>
      <c r="H220" s="91" t="e">
        <f>SUMIF(#REF!,"구거",#REF!)</f>
        <v>#REF!</v>
      </c>
      <c r="I220" s="8" t="s">
        <v>26</v>
      </c>
      <c r="J220" s="31" t="e">
        <f>SUMIF(#REF!,"구거",#REF!)</f>
        <v>#REF!</v>
      </c>
      <c r="K220" s="31" t="e">
        <f>SUMIF(#REF!,"구거",#REF!)</f>
        <v>#REF!</v>
      </c>
      <c r="L220" s="30" t="e">
        <f>SUMIF(#REF!,"구거",#REF!)</f>
        <v>#REF!</v>
      </c>
      <c r="M220" s="91" t="e">
        <f>SUMIF(#REF!,"구거",#REF!)</f>
        <v>#REF!</v>
      </c>
      <c r="N220" s="8" t="s">
        <v>26</v>
      </c>
      <c r="O220" s="31" t="e">
        <f>SUMIF(#REF!,"구거",#REF!)</f>
        <v>#REF!</v>
      </c>
      <c r="P220" s="31" t="e">
        <f>SUMIF(#REF!,"구거",#REF!)</f>
        <v>#REF!</v>
      </c>
      <c r="Q220" s="87" t="e">
        <f t="shared" si="9"/>
        <v>#REF!</v>
      </c>
    </row>
    <row r="221" spans="1:17" s="20" customFormat="1" ht="29.1" hidden="1" customHeight="1" x14ac:dyDescent="0.15">
      <c r="A221" s="54" t="s">
        <v>34</v>
      </c>
      <c r="B221" s="30" t="e">
        <f>SUMIF(#REF!,"제방",#REF!)</f>
        <v>#REF!</v>
      </c>
      <c r="C221" s="93" t="e">
        <f>SUMIF(#REF!,"제방",#REF!)</f>
        <v>#REF!</v>
      </c>
      <c r="D221" s="8" t="s">
        <v>26</v>
      </c>
      <c r="E221" s="31" t="e">
        <f>SUMIF(#REF!,"제방",#REF!)</f>
        <v>#REF!</v>
      </c>
      <c r="F221" s="35" t="e">
        <f>SUMIF(#REF!,"제방",#REF!)</f>
        <v>#REF!</v>
      </c>
      <c r="G221" s="30" t="e">
        <f>SUMIF(#REF!,"제방",#REF!)</f>
        <v>#REF!</v>
      </c>
      <c r="H221" s="91" t="e">
        <f>SUMIF(#REF!,"제방",#REF!)</f>
        <v>#REF!</v>
      </c>
      <c r="I221" s="8" t="s">
        <v>26</v>
      </c>
      <c r="J221" s="31" t="e">
        <f>SUMIF(#REF!,"제방",#REF!)</f>
        <v>#REF!</v>
      </c>
      <c r="K221" s="31" t="e">
        <f>SUMIF(#REF!,"제방",#REF!)</f>
        <v>#REF!</v>
      </c>
      <c r="L221" s="30" t="e">
        <f>SUMIF(#REF!,"제방",#REF!)</f>
        <v>#REF!</v>
      </c>
      <c r="M221" s="91" t="e">
        <f>SUMIF(#REF!,"제방",#REF!)</f>
        <v>#REF!</v>
      </c>
      <c r="N221" s="8" t="s">
        <v>26</v>
      </c>
      <c r="O221" s="31" t="e">
        <f>SUMIF(#REF!,"제방",#REF!)</f>
        <v>#REF!</v>
      </c>
      <c r="P221" s="31" t="e">
        <f>SUMIF(#REF!,"제방",#REF!)</f>
        <v>#REF!</v>
      </c>
      <c r="Q221" s="21" t="e">
        <f t="shared" si="9"/>
        <v>#REF!</v>
      </c>
    </row>
    <row r="222" spans="1:17" s="20" customFormat="1" ht="29.1" hidden="1" customHeight="1" x14ac:dyDescent="0.15">
      <c r="A222" s="54" t="s">
        <v>52</v>
      </c>
      <c r="B222" s="30" t="e">
        <f>SUMIF(#REF!,"유지",#REF!)</f>
        <v>#REF!</v>
      </c>
      <c r="C222" s="93" t="e">
        <f>SUMIF(#REF!,"유지",#REF!)</f>
        <v>#REF!</v>
      </c>
      <c r="D222" s="8" t="s">
        <v>26</v>
      </c>
      <c r="E222" s="31" t="e">
        <f>SUMIF(#REF!,"유지",#REF!)</f>
        <v>#REF!</v>
      </c>
      <c r="F222" s="35" t="e">
        <f>SUMIF(#REF!,"유지",#REF!)</f>
        <v>#REF!</v>
      </c>
      <c r="G222" s="30" t="e">
        <f>SUMIF(#REF!,"유지",#REF!)</f>
        <v>#REF!</v>
      </c>
      <c r="H222" s="91" t="e">
        <f>SUMIF(#REF!,"유지",#REF!)</f>
        <v>#REF!</v>
      </c>
      <c r="I222" s="8" t="s">
        <v>26</v>
      </c>
      <c r="J222" s="31" t="e">
        <f>SUMIF(#REF!,"유지",#REF!)</f>
        <v>#REF!</v>
      </c>
      <c r="K222" s="31" t="e">
        <f>SUMIF(#REF!,"유지",#REF!)</f>
        <v>#REF!</v>
      </c>
      <c r="L222" s="30" t="e">
        <f>SUMIF(#REF!,"유지",#REF!)</f>
        <v>#REF!</v>
      </c>
      <c r="M222" s="91" t="e">
        <f>SUMIF(#REF!,"유지",#REF!)</f>
        <v>#REF!</v>
      </c>
      <c r="N222" s="8" t="s">
        <v>26</v>
      </c>
      <c r="O222" s="31" t="e">
        <f>SUMIF(#REF!,"유지",#REF!)</f>
        <v>#REF!</v>
      </c>
      <c r="P222" s="31" t="e">
        <f>SUMIF(#REF!,"유지",#REF!)</f>
        <v>#REF!</v>
      </c>
      <c r="Q222" s="21" t="e">
        <f t="shared" si="9"/>
        <v>#REF!</v>
      </c>
    </row>
    <row r="223" spans="1:17" s="20" customFormat="1" ht="29.1" hidden="1" customHeight="1" x14ac:dyDescent="0.15">
      <c r="A223" s="54" t="s">
        <v>35</v>
      </c>
      <c r="B223" s="30" t="e">
        <f>SUMIF(#REF!,"잡종지",#REF!)</f>
        <v>#REF!</v>
      </c>
      <c r="C223" s="93" t="e">
        <f>SUMIF(#REF!,"잡종지",#REF!)</f>
        <v>#REF!</v>
      </c>
      <c r="D223" s="8" t="s">
        <v>26</v>
      </c>
      <c r="E223" s="31" t="e">
        <f>SUMIF(#REF!,"잡종지",#REF!)</f>
        <v>#REF!</v>
      </c>
      <c r="F223" s="35" t="e">
        <f>SUMIF(#REF!,"잡종지",#REF!)</f>
        <v>#REF!</v>
      </c>
      <c r="G223" s="30" t="e">
        <f>SUMIF(#REF!,"잡종지",#REF!)</f>
        <v>#REF!</v>
      </c>
      <c r="H223" s="91" t="e">
        <f>SUMIF(#REF!,"잡종지",#REF!)</f>
        <v>#REF!</v>
      </c>
      <c r="I223" s="8" t="s">
        <v>26</v>
      </c>
      <c r="J223" s="31" t="e">
        <f>SUMIF(#REF!,"잡종지",#REF!)</f>
        <v>#REF!</v>
      </c>
      <c r="K223" s="31" t="e">
        <f>SUMIF(#REF!,"잡종지",#REF!)</f>
        <v>#REF!</v>
      </c>
      <c r="L223" s="30" t="e">
        <f>SUMIF(#REF!,"잡종지",#REF!)</f>
        <v>#REF!</v>
      </c>
      <c r="M223" s="91" t="e">
        <f>SUMIF(#REF!,"잡종지",#REF!)</f>
        <v>#REF!</v>
      </c>
      <c r="N223" s="8" t="s">
        <v>26</v>
      </c>
      <c r="O223" s="31" t="e">
        <f>SUMIF(#REF!,"잡종지",#REF!)</f>
        <v>#REF!</v>
      </c>
      <c r="P223" s="31" t="e">
        <f>SUMIF(#REF!,"잡종지",#REF!)</f>
        <v>#REF!</v>
      </c>
      <c r="Q223" s="56" t="e">
        <f t="shared" si="9"/>
        <v>#REF!</v>
      </c>
    </row>
    <row r="224" spans="1:17" s="20" customFormat="1" ht="29.1" hidden="1" customHeight="1" x14ac:dyDescent="0.15">
      <c r="A224" s="54" t="s">
        <v>36</v>
      </c>
      <c r="B224" s="30" t="e">
        <f>SUMIF(#REF!,"묘지",#REF!)</f>
        <v>#REF!</v>
      </c>
      <c r="C224" s="93" t="e">
        <f>SUMIF(#REF!,"묘지",#REF!)</f>
        <v>#REF!</v>
      </c>
      <c r="D224" s="8" t="s">
        <v>26</v>
      </c>
      <c r="E224" s="31" t="e">
        <f>SUMIF(#REF!,"묘지",#REF!)</f>
        <v>#REF!</v>
      </c>
      <c r="F224" s="35" t="e">
        <f>SUMIF(#REF!,"묘지",#REF!)</f>
        <v>#REF!</v>
      </c>
      <c r="G224" s="30" t="e">
        <f>SUMIF(#REF!,"묘지",#REF!)</f>
        <v>#REF!</v>
      </c>
      <c r="H224" s="91" t="e">
        <f>SUMIF(#REF!,"묘지",#REF!)</f>
        <v>#REF!</v>
      </c>
      <c r="I224" s="8" t="s">
        <v>26</v>
      </c>
      <c r="J224" s="31" t="e">
        <f>SUMIF(#REF!,"묘지",#REF!)</f>
        <v>#REF!</v>
      </c>
      <c r="K224" s="31" t="e">
        <f>SUMIF(#REF!,"묘지",#REF!)</f>
        <v>#REF!</v>
      </c>
      <c r="L224" s="30" t="e">
        <f>SUMIF(#REF!,"묘지",#REF!)</f>
        <v>#REF!</v>
      </c>
      <c r="M224" s="91" t="e">
        <f>SUMIF(#REF!,"묘지",#REF!)</f>
        <v>#REF!</v>
      </c>
      <c r="N224" s="8" t="s">
        <v>26</v>
      </c>
      <c r="O224" s="31" t="e">
        <f>SUMIF(#REF!,"묘지",#REF!)</f>
        <v>#REF!</v>
      </c>
      <c r="P224" s="31" t="e">
        <f>SUMIF(#REF!,"묘지",#REF!)</f>
        <v>#REF!</v>
      </c>
      <c r="Q224" s="56" t="e">
        <f t="shared" si="9"/>
        <v>#REF!</v>
      </c>
    </row>
    <row r="225" spans="1:17" s="20" customFormat="1" ht="29.1" hidden="1" customHeight="1" x14ac:dyDescent="0.15">
      <c r="A225" s="54" t="s">
        <v>53</v>
      </c>
      <c r="B225" s="30" t="e">
        <f>SUMIF(#REF!,"과수원",#REF!)</f>
        <v>#REF!</v>
      </c>
      <c r="C225" s="93" t="e">
        <f>SUMIF(#REF!,"과수원",#REF!)</f>
        <v>#REF!</v>
      </c>
      <c r="D225" s="8" t="s">
        <v>26</v>
      </c>
      <c r="E225" s="31" t="e">
        <f>SUMIF(#REF!,"과수원",#REF!)</f>
        <v>#REF!</v>
      </c>
      <c r="F225" s="35" t="e">
        <f>SUMIF(#REF!,"과수원",#REF!)</f>
        <v>#REF!</v>
      </c>
      <c r="G225" s="30" t="e">
        <f>SUMIF(#REF!,"과수원",#REF!)</f>
        <v>#REF!</v>
      </c>
      <c r="H225" s="91" t="e">
        <f>SUMIF(#REF!,"과수원",#REF!)</f>
        <v>#REF!</v>
      </c>
      <c r="I225" s="8" t="s">
        <v>26</v>
      </c>
      <c r="J225" s="31" t="e">
        <f>SUMIF(#REF!,"과수원",#REF!)</f>
        <v>#REF!</v>
      </c>
      <c r="K225" s="31" t="e">
        <f>SUMIF(#REF!,"과수원",#REF!)</f>
        <v>#REF!</v>
      </c>
      <c r="L225" s="30" t="e">
        <f>SUMIF(#REF!,"과수원",#REF!)</f>
        <v>#REF!</v>
      </c>
      <c r="M225" s="91" t="e">
        <f>SUMIF(#REF!,"과수원",#REF!)</f>
        <v>#REF!</v>
      </c>
      <c r="N225" s="8" t="s">
        <v>26</v>
      </c>
      <c r="O225" s="31" t="e">
        <f>SUMIF(#REF!,"과수원",#REF!)</f>
        <v>#REF!</v>
      </c>
      <c r="P225" s="31" t="e">
        <f>SUMIF(#REF!,"과수원",#REF!)</f>
        <v>#REF!</v>
      </c>
      <c r="Q225" s="56" t="e">
        <f t="shared" si="9"/>
        <v>#REF!</v>
      </c>
    </row>
    <row r="226" spans="1:17" s="20" customFormat="1" ht="29.1" hidden="1" customHeight="1" x14ac:dyDescent="0.15">
      <c r="A226" s="54" t="s">
        <v>54</v>
      </c>
      <c r="B226" s="30" t="e">
        <f>SUMIF(#REF!,"철도",#REF!)</f>
        <v>#REF!</v>
      </c>
      <c r="C226" s="93" t="e">
        <f>SUMIF(#REF!,"철도",#REF!)</f>
        <v>#REF!</v>
      </c>
      <c r="D226" s="8" t="s">
        <v>26</v>
      </c>
      <c r="E226" s="31" t="e">
        <f>SUMIF(#REF!,"철도",#REF!)</f>
        <v>#REF!</v>
      </c>
      <c r="F226" s="35" t="e">
        <f>SUMIF(#REF!,"철도",#REF!)</f>
        <v>#REF!</v>
      </c>
      <c r="G226" s="30" t="e">
        <f>SUMIF(#REF!,"철도",#REF!)</f>
        <v>#REF!</v>
      </c>
      <c r="H226" s="91" t="e">
        <f>SUMIF(#REF!,"철도",#REF!)</f>
        <v>#REF!</v>
      </c>
      <c r="I226" s="8" t="s">
        <v>26</v>
      </c>
      <c r="J226" s="31" t="e">
        <f>SUMIF(#REF!,"철도",#REF!)</f>
        <v>#REF!</v>
      </c>
      <c r="K226" s="31" t="e">
        <f>SUMIF(#REF!,"철도",#REF!)</f>
        <v>#REF!</v>
      </c>
      <c r="L226" s="30" t="e">
        <f>SUMIF(#REF!,"철도",#REF!)</f>
        <v>#REF!</v>
      </c>
      <c r="M226" s="91" t="e">
        <f>SUMIF(#REF!,"철도",#REF!)</f>
        <v>#REF!</v>
      </c>
      <c r="N226" s="8" t="s">
        <v>26</v>
      </c>
      <c r="O226" s="31" t="e">
        <f>SUMIF(#REF!,"철도",#REF!)</f>
        <v>#REF!</v>
      </c>
      <c r="P226" s="31" t="e">
        <f>SUMIF(#REF!,"철도",#REF!)</f>
        <v>#REF!</v>
      </c>
      <c r="Q226" s="56" t="e">
        <f t="shared" si="9"/>
        <v>#REF!</v>
      </c>
    </row>
    <row r="227" spans="1:17" s="20" customFormat="1" ht="29.1" hidden="1" customHeight="1" x14ac:dyDescent="0.15">
      <c r="A227" s="54" t="s">
        <v>38</v>
      </c>
      <c r="B227" s="30" t="e">
        <f>SUMIF(#REF!,"학교용지",#REF!)</f>
        <v>#REF!</v>
      </c>
      <c r="C227" s="93" t="e">
        <f>SUMIF(#REF!,"학교용지",#REF!)</f>
        <v>#REF!</v>
      </c>
      <c r="D227" s="8" t="s">
        <v>26</v>
      </c>
      <c r="E227" s="31" t="e">
        <f>SUMIF(#REF!,"학교용지",#REF!)</f>
        <v>#REF!</v>
      </c>
      <c r="F227" s="35" t="e">
        <f>SUMIF(#REF!,"학교용지",#REF!)</f>
        <v>#REF!</v>
      </c>
      <c r="G227" s="30" t="e">
        <f>SUMIF(#REF!,"학교용지",#REF!)</f>
        <v>#REF!</v>
      </c>
      <c r="H227" s="91" t="e">
        <f>SUMIF(#REF!,"학교용지",#REF!)</f>
        <v>#REF!</v>
      </c>
      <c r="I227" s="8" t="s">
        <v>26</v>
      </c>
      <c r="J227" s="31" t="e">
        <f>SUMIF(#REF!,"학교용지",#REF!)</f>
        <v>#REF!</v>
      </c>
      <c r="K227" s="31" t="e">
        <f>SUMIF(#REF!,"학교용지",#REF!)</f>
        <v>#REF!</v>
      </c>
      <c r="L227" s="30" t="e">
        <f>SUMIF(#REF!,"학교용지",#REF!)</f>
        <v>#REF!</v>
      </c>
      <c r="M227" s="91" t="e">
        <f>SUMIF(#REF!,"학교용지",#REF!)</f>
        <v>#REF!</v>
      </c>
      <c r="N227" s="8" t="s">
        <v>26</v>
      </c>
      <c r="O227" s="31" t="e">
        <f>SUMIF(#REF!,"학교용지",#REF!)</f>
        <v>#REF!</v>
      </c>
      <c r="P227" s="31" t="e">
        <f>SUMIF(#REF!,"학교용지",#REF!)</f>
        <v>#REF!</v>
      </c>
      <c r="Q227" s="56" t="e">
        <f t="shared" si="9"/>
        <v>#REF!</v>
      </c>
    </row>
    <row r="228" spans="1:17" s="20" customFormat="1" ht="29.1" hidden="1" customHeight="1" x14ac:dyDescent="0.15">
      <c r="A228" s="54" t="s">
        <v>55</v>
      </c>
      <c r="B228" s="30" t="e">
        <f>SUMIF(#REF!,"수도",#REF!)</f>
        <v>#REF!</v>
      </c>
      <c r="C228" s="93" t="e">
        <f>SUMIF(#REF!,"수도",#REF!)</f>
        <v>#REF!</v>
      </c>
      <c r="D228" s="8" t="s">
        <v>26</v>
      </c>
      <c r="E228" s="31" t="e">
        <f>SUMIF(#REF!,"수도",#REF!)</f>
        <v>#REF!</v>
      </c>
      <c r="F228" s="35" t="e">
        <f>SUMIF(#REF!,"수도",#REF!)</f>
        <v>#REF!</v>
      </c>
      <c r="G228" s="30" t="e">
        <f>SUMIF(#REF!,"수도",#REF!)</f>
        <v>#REF!</v>
      </c>
      <c r="H228" s="91" t="e">
        <f>SUMIF(#REF!,"수도",#REF!)</f>
        <v>#REF!</v>
      </c>
      <c r="I228" s="8" t="s">
        <v>26</v>
      </c>
      <c r="J228" s="31" t="e">
        <f>SUMIF(#REF!,"수도",#REF!)</f>
        <v>#REF!</v>
      </c>
      <c r="K228" s="31" t="e">
        <f>SUMIF(#REF!,"수도",#REF!)</f>
        <v>#REF!</v>
      </c>
      <c r="L228" s="30" t="e">
        <f>SUMIF(#REF!,"수도",#REF!)</f>
        <v>#REF!</v>
      </c>
      <c r="M228" s="91" t="e">
        <f>SUMIF(#REF!,"수도",#REF!)</f>
        <v>#REF!</v>
      </c>
      <c r="N228" s="8" t="s">
        <v>26</v>
      </c>
      <c r="O228" s="31" t="e">
        <f>SUMIF(#REF!,"수도",#REF!)</f>
        <v>#REF!</v>
      </c>
      <c r="P228" s="31" t="e">
        <f>SUMIF(#REF!,"수도",#REF!)</f>
        <v>#REF!</v>
      </c>
      <c r="Q228" s="56" t="e">
        <f t="shared" si="9"/>
        <v>#REF!</v>
      </c>
    </row>
    <row r="229" spans="1:17" s="20" customFormat="1" ht="29.1" hidden="1" customHeight="1" x14ac:dyDescent="0.15">
      <c r="A229" s="54" t="s">
        <v>40</v>
      </c>
      <c r="B229" s="30" t="e">
        <f>SUMIF(#REF!,"공장",#REF!)</f>
        <v>#REF!</v>
      </c>
      <c r="C229" s="93" t="e">
        <f>SUMIF(#REF!,"공장",#REF!)</f>
        <v>#REF!</v>
      </c>
      <c r="D229" s="8" t="s">
        <v>26</v>
      </c>
      <c r="E229" s="31" t="e">
        <f>SUMIF(#REF!,"공장",#REF!)</f>
        <v>#REF!</v>
      </c>
      <c r="F229" s="35" t="e">
        <f>SUMIF(#REF!,"공장",#REF!)</f>
        <v>#REF!</v>
      </c>
      <c r="G229" s="30" t="e">
        <f>SUMIF(#REF!,"공장",#REF!)</f>
        <v>#REF!</v>
      </c>
      <c r="H229" s="91" t="e">
        <f>SUMIF(#REF!,"공장",#REF!)</f>
        <v>#REF!</v>
      </c>
      <c r="I229" s="8" t="s">
        <v>26</v>
      </c>
      <c r="J229" s="31" t="e">
        <f>SUMIF(#REF!,"공장",#REF!)</f>
        <v>#REF!</v>
      </c>
      <c r="K229" s="31" t="e">
        <f>SUMIF(#REF!,"공장",#REF!)</f>
        <v>#REF!</v>
      </c>
      <c r="L229" s="30" t="e">
        <f>SUMIF(#REF!,"공장",#REF!)</f>
        <v>#REF!</v>
      </c>
      <c r="M229" s="91" t="e">
        <f>SUMIF(#REF!,"공장",#REF!)</f>
        <v>#REF!</v>
      </c>
      <c r="N229" s="8" t="s">
        <v>26</v>
      </c>
      <c r="O229" s="31" t="e">
        <f>SUMIF(#REF!,"공장",#REF!)</f>
        <v>#REF!</v>
      </c>
      <c r="P229" s="31" t="e">
        <f>SUMIF(#REF!,"공장",#REF!)</f>
        <v>#REF!</v>
      </c>
      <c r="Q229" s="87" t="e">
        <f t="shared" si="9"/>
        <v>#REF!</v>
      </c>
    </row>
    <row r="230" spans="1:17" s="20" customFormat="1" ht="29.1" hidden="1" customHeight="1" x14ac:dyDescent="0.15">
      <c r="A230" s="55" t="s">
        <v>56</v>
      </c>
      <c r="B230" s="32" t="e">
        <f>SUMIF(#REF!,"기타",#REF!)</f>
        <v>#REF!</v>
      </c>
      <c r="C230" s="94" t="e">
        <f>SUMIF(#REF!,"기타",#REF!)</f>
        <v>#REF!</v>
      </c>
      <c r="D230" s="22" t="s">
        <v>26</v>
      </c>
      <c r="E230" s="33" t="e">
        <f>SUMIF(#REF!,"기타",#REF!)</f>
        <v>#REF!</v>
      </c>
      <c r="F230" s="39" t="e">
        <f>SUMIF(#REF!,"기타",#REF!)</f>
        <v>#REF!</v>
      </c>
      <c r="G230" s="32" t="e">
        <f>SUMIF(#REF!,"기타",#REF!)</f>
        <v>#REF!</v>
      </c>
      <c r="H230" s="92" t="e">
        <f>SUMIF(#REF!,"기타",#REF!)</f>
        <v>#REF!</v>
      </c>
      <c r="I230" s="22" t="s">
        <v>26</v>
      </c>
      <c r="J230" s="33" t="e">
        <f>SUMIF(#REF!,"기타",#REF!)</f>
        <v>#REF!</v>
      </c>
      <c r="K230" s="33" t="e">
        <f>SUMIF(#REF!,"기타",#REF!)</f>
        <v>#REF!</v>
      </c>
      <c r="L230" s="32" t="e">
        <f>SUMIF(#REF!,"기타",#REF!)</f>
        <v>#REF!</v>
      </c>
      <c r="M230" s="92" t="e">
        <f>SUMIF(#REF!,"기타",#REF!)</f>
        <v>#REF!</v>
      </c>
      <c r="N230" s="22" t="s">
        <v>26</v>
      </c>
      <c r="O230" s="33" t="e">
        <f>SUMIF(#REF!,"기타",#REF!)</f>
        <v>#REF!</v>
      </c>
      <c r="P230" s="33" t="e">
        <f>SUMIF(#REF!,"기타",#REF!)</f>
        <v>#REF!</v>
      </c>
      <c r="Q230" s="81" t="e">
        <f t="shared" si="9"/>
        <v>#REF!</v>
      </c>
    </row>
    <row r="231" spans="1:17" ht="29.1" customHeight="1" x14ac:dyDescent="0.15"/>
    <row r="232" spans="1:17" ht="29.1" customHeight="1" x14ac:dyDescent="0.15"/>
    <row r="233" spans="1:17" ht="29.1" customHeight="1" x14ac:dyDescent="0.15"/>
    <row r="234" spans="1:17" ht="29.1" customHeight="1" x14ac:dyDescent="0.15"/>
    <row r="235" spans="1:17" ht="29.1" customHeight="1" x14ac:dyDescent="0.15"/>
    <row r="236" spans="1:17" ht="29.1" customHeight="1" x14ac:dyDescent="0.15"/>
    <row r="237" spans="1:17" ht="29.1" customHeight="1" x14ac:dyDescent="0.15"/>
    <row r="238" spans="1:17" ht="29.1" customHeight="1" x14ac:dyDescent="0.15"/>
    <row r="239" spans="1:17" ht="29.1" customHeight="1" x14ac:dyDescent="0.15"/>
    <row r="240" spans="1:17" ht="29.1" customHeight="1" x14ac:dyDescent="0.15"/>
    <row r="241" ht="29.1" customHeight="1" x14ac:dyDescent="0.15"/>
    <row r="242" ht="29.1" customHeight="1" x14ac:dyDescent="0.15"/>
    <row r="243" ht="29.1" customHeight="1" x14ac:dyDescent="0.15"/>
    <row r="244" ht="29.1" customHeight="1" x14ac:dyDescent="0.15"/>
    <row r="245" ht="29.1" customHeight="1" x14ac:dyDescent="0.15"/>
    <row r="246" ht="29.1" customHeight="1" x14ac:dyDescent="0.15"/>
    <row r="247" ht="29.1" customHeight="1" x14ac:dyDescent="0.15"/>
    <row r="248" ht="29.1" customHeight="1" x14ac:dyDescent="0.15"/>
    <row r="249" ht="29.1" customHeight="1" x14ac:dyDescent="0.15"/>
    <row r="250" ht="29.1" customHeight="1" x14ac:dyDescent="0.15"/>
    <row r="251" ht="29.1" customHeight="1" x14ac:dyDescent="0.15"/>
    <row r="252" ht="29.1" customHeight="1" x14ac:dyDescent="0.15"/>
    <row r="253" ht="29.1" customHeight="1" x14ac:dyDescent="0.15"/>
    <row r="254" ht="29.1" customHeight="1" x14ac:dyDescent="0.15"/>
    <row r="255" ht="29.1" customHeight="1" x14ac:dyDescent="0.15"/>
    <row r="256" ht="29.1" customHeight="1" x14ac:dyDescent="0.15"/>
    <row r="257" spans="11:11" ht="29.1" customHeight="1" x14ac:dyDescent="0.15"/>
    <row r="258" spans="11:11" ht="29.1" customHeight="1" x14ac:dyDescent="0.15"/>
    <row r="259" spans="11:11" ht="29.1" customHeight="1" x14ac:dyDescent="0.15"/>
    <row r="260" spans="11:11" ht="29.1" customHeight="1" x14ac:dyDescent="0.15"/>
    <row r="261" spans="11:11" ht="29.1" customHeight="1" x14ac:dyDescent="0.15"/>
    <row r="262" spans="11:11" ht="29.1" customHeight="1" x14ac:dyDescent="0.15"/>
    <row r="263" spans="11:11" ht="29.1" customHeight="1" x14ac:dyDescent="0.15"/>
    <row r="264" spans="11:11" ht="29.1" customHeight="1" x14ac:dyDescent="0.15"/>
    <row r="265" spans="11:11" ht="29.1" customHeight="1" x14ac:dyDescent="0.15"/>
    <row r="266" spans="11:11" ht="29.1" customHeight="1" x14ac:dyDescent="0.15"/>
    <row r="267" spans="11:11" ht="29.1" customHeight="1" x14ac:dyDescent="0.15"/>
    <row r="268" spans="11:11" ht="29.1" customHeight="1" x14ac:dyDescent="0.15"/>
    <row r="269" spans="11:11" ht="29.1" customHeight="1" x14ac:dyDescent="0.15"/>
    <row r="270" spans="11:11" ht="29.1" customHeight="1" x14ac:dyDescent="0.15"/>
    <row r="271" spans="11:11" ht="29.1" customHeight="1" x14ac:dyDescent="0.15"/>
    <row r="272" spans="11:11" ht="29.1" customHeight="1" x14ac:dyDescent="0.15">
      <c r="K272" s="131"/>
    </row>
    <row r="273" ht="29.1" customHeight="1" x14ac:dyDescent="0.15"/>
    <row r="274" ht="29.1" customHeight="1" x14ac:dyDescent="0.15"/>
    <row r="275" ht="29.1" customHeight="1" x14ac:dyDescent="0.15"/>
    <row r="276" ht="29.1" customHeight="1" x14ac:dyDescent="0.15"/>
    <row r="277" ht="29.1" customHeight="1" x14ac:dyDescent="0.15"/>
    <row r="278" ht="29.1" customHeight="1" x14ac:dyDescent="0.15"/>
    <row r="279" ht="29.1" customHeight="1" x14ac:dyDescent="0.15"/>
    <row r="280" ht="29.1" customHeight="1" x14ac:dyDescent="0.15"/>
    <row r="281" ht="29.1" customHeight="1" x14ac:dyDescent="0.15"/>
    <row r="282" ht="29.1" customHeight="1" x14ac:dyDescent="0.15"/>
    <row r="283" ht="29.1" customHeight="1" x14ac:dyDescent="0.15"/>
    <row r="284" ht="29.1" customHeight="1" x14ac:dyDescent="0.15"/>
    <row r="285" ht="29.1" customHeight="1" x14ac:dyDescent="0.15"/>
    <row r="286" ht="29.1" customHeight="1" x14ac:dyDescent="0.15"/>
    <row r="287" ht="29.1" customHeight="1" x14ac:dyDescent="0.15"/>
    <row r="288" ht="29.1" customHeight="1" x14ac:dyDescent="0.15"/>
    <row r="289" ht="29.1" customHeight="1" x14ac:dyDescent="0.15"/>
    <row r="290" ht="29.1" customHeight="1" x14ac:dyDescent="0.15"/>
    <row r="291" ht="29.1" customHeight="1" x14ac:dyDescent="0.15"/>
    <row r="292" ht="29.1" customHeight="1" x14ac:dyDescent="0.15"/>
    <row r="293" ht="29.1" customHeight="1" x14ac:dyDescent="0.15"/>
    <row r="294" ht="29.1" customHeight="1" x14ac:dyDescent="0.15"/>
    <row r="295" ht="29.1" customHeight="1" x14ac:dyDescent="0.15"/>
    <row r="296" ht="29.1" customHeight="1" x14ac:dyDescent="0.15"/>
    <row r="297" ht="29.1" customHeight="1" x14ac:dyDescent="0.15"/>
    <row r="298" ht="29.1" customHeight="1" x14ac:dyDescent="0.15"/>
    <row r="299" ht="29.1" customHeight="1" x14ac:dyDescent="0.15"/>
    <row r="300" ht="29.1" customHeight="1" x14ac:dyDescent="0.15"/>
    <row r="301" ht="29.1" customHeight="1" x14ac:dyDescent="0.15"/>
    <row r="302" ht="29.1" customHeight="1" x14ac:dyDescent="0.15"/>
    <row r="303" ht="29.1" customHeight="1" x14ac:dyDescent="0.15"/>
    <row r="304" ht="29.1" customHeight="1" x14ac:dyDescent="0.15"/>
    <row r="305" ht="29.1" customHeight="1" x14ac:dyDescent="0.15"/>
    <row r="306" ht="29.1" customHeight="1" x14ac:dyDescent="0.15"/>
    <row r="307" ht="29.1" customHeight="1" x14ac:dyDescent="0.15"/>
    <row r="308" ht="29.1" customHeight="1" x14ac:dyDescent="0.15"/>
    <row r="309" ht="29.1" customHeight="1" x14ac:dyDescent="0.15"/>
    <row r="310" ht="29.1" customHeight="1" x14ac:dyDescent="0.15"/>
    <row r="311" ht="29.1" customHeight="1" x14ac:dyDescent="0.15"/>
    <row r="312" ht="29.1" customHeight="1" x14ac:dyDescent="0.15"/>
    <row r="313" ht="29.1" customHeight="1" x14ac:dyDescent="0.15"/>
    <row r="314" ht="29.1" customHeight="1" x14ac:dyDescent="0.15"/>
    <row r="315" ht="29.1" customHeight="1" x14ac:dyDescent="0.15"/>
    <row r="316" ht="29.1" customHeight="1" x14ac:dyDescent="0.15"/>
    <row r="317" ht="29.1" customHeight="1" x14ac:dyDescent="0.15"/>
    <row r="318" ht="29.1" customHeight="1" x14ac:dyDescent="0.15"/>
    <row r="319" ht="29.1" customHeight="1" x14ac:dyDescent="0.15"/>
    <row r="320" ht="29.1" customHeight="1" x14ac:dyDescent="0.15"/>
    <row r="321" ht="29.1" customHeight="1" x14ac:dyDescent="0.15"/>
    <row r="322" ht="29.1" customHeight="1" x14ac:dyDescent="0.15"/>
    <row r="323" ht="29.1" customHeight="1" x14ac:dyDescent="0.15"/>
    <row r="324" ht="29.1" customHeight="1" x14ac:dyDescent="0.15"/>
    <row r="325" ht="29.1" customHeight="1" x14ac:dyDescent="0.15"/>
    <row r="326" ht="29.1" customHeight="1" x14ac:dyDescent="0.15"/>
    <row r="327" ht="29.1" customHeight="1" x14ac:dyDescent="0.15"/>
    <row r="328" ht="29.1" customHeight="1" x14ac:dyDescent="0.15"/>
    <row r="329" ht="29.1" customHeight="1" x14ac:dyDescent="0.15"/>
    <row r="330" ht="29.1" customHeight="1" x14ac:dyDescent="0.15"/>
    <row r="331" ht="29.1" customHeight="1" x14ac:dyDescent="0.15"/>
    <row r="332" ht="29.1" customHeight="1" x14ac:dyDescent="0.15"/>
    <row r="333" ht="29.1" customHeight="1" x14ac:dyDescent="0.15"/>
    <row r="334" ht="29.1" customHeight="1" x14ac:dyDescent="0.15"/>
    <row r="335" ht="29.1" customHeight="1" x14ac:dyDescent="0.15"/>
    <row r="336" ht="29.1" customHeight="1" x14ac:dyDescent="0.15"/>
    <row r="337" ht="29.1" customHeight="1" x14ac:dyDescent="0.15"/>
    <row r="338" ht="29.1" customHeight="1" x14ac:dyDescent="0.15"/>
    <row r="339" ht="29.1" customHeight="1" x14ac:dyDescent="0.15"/>
    <row r="340" ht="29.1" customHeight="1" x14ac:dyDescent="0.15"/>
    <row r="341" ht="29.1" customHeight="1" x14ac:dyDescent="0.15"/>
    <row r="342" ht="29.1" customHeight="1" x14ac:dyDescent="0.15"/>
    <row r="343" ht="29.1" customHeight="1" x14ac:dyDescent="0.15"/>
    <row r="344" ht="29.1" customHeight="1" x14ac:dyDescent="0.15"/>
    <row r="345" ht="29.1" customHeight="1" x14ac:dyDescent="0.15"/>
    <row r="346" ht="29.1" customHeight="1" x14ac:dyDescent="0.15"/>
    <row r="347" ht="29.1" customHeight="1" x14ac:dyDescent="0.15"/>
    <row r="348" ht="29.1" customHeight="1" x14ac:dyDescent="0.15"/>
    <row r="349" ht="29.1" customHeight="1" x14ac:dyDescent="0.15"/>
    <row r="350" ht="29.1" customHeight="1" x14ac:dyDescent="0.15"/>
    <row r="351" ht="29.1" customHeight="1" x14ac:dyDescent="0.15"/>
    <row r="352" ht="29.1" customHeight="1" x14ac:dyDescent="0.15"/>
    <row r="353" ht="29.1" customHeight="1" x14ac:dyDescent="0.15"/>
    <row r="354" ht="29.1" customHeight="1" x14ac:dyDescent="0.15"/>
    <row r="355" ht="29.1" customHeight="1" x14ac:dyDescent="0.15"/>
    <row r="356" ht="29.1" customHeight="1" x14ac:dyDescent="0.15"/>
    <row r="357" ht="29.1" customHeight="1" x14ac:dyDescent="0.15"/>
    <row r="358" ht="29.1" customHeight="1" x14ac:dyDescent="0.15"/>
    <row r="359" ht="29.1" customHeight="1" x14ac:dyDescent="0.15"/>
    <row r="360" ht="29.1" customHeight="1" x14ac:dyDescent="0.15"/>
    <row r="361" ht="29.1" customHeight="1" x14ac:dyDescent="0.15"/>
    <row r="362" ht="29.1" customHeight="1" x14ac:dyDescent="0.15"/>
    <row r="363" ht="29.1" customHeight="1" x14ac:dyDescent="0.15"/>
    <row r="364" ht="29.1" customHeight="1" x14ac:dyDescent="0.15"/>
    <row r="365" ht="29.1" customHeight="1" x14ac:dyDescent="0.15"/>
    <row r="366" ht="29.1" customHeight="1" x14ac:dyDescent="0.15"/>
    <row r="367" ht="29.1" customHeight="1" x14ac:dyDescent="0.15"/>
    <row r="368" ht="29.1" customHeight="1" x14ac:dyDescent="0.15"/>
    <row r="369" ht="29.1" customHeight="1" x14ac:dyDescent="0.15"/>
    <row r="370" ht="29.1" customHeight="1" x14ac:dyDescent="0.15"/>
    <row r="371" ht="29.1" customHeight="1" x14ac:dyDescent="0.15"/>
    <row r="372" ht="29.1" customHeight="1" x14ac:dyDescent="0.15"/>
    <row r="373" ht="29.1" customHeight="1" x14ac:dyDescent="0.15"/>
    <row r="374" ht="29.1" customHeight="1" x14ac:dyDescent="0.15"/>
    <row r="375" ht="29.1" customHeight="1" x14ac:dyDescent="0.15"/>
    <row r="376" ht="29.1" customHeight="1" x14ac:dyDescent="0.15"/>
    <row r="377" ht="29.1" customHeight="1" x14ac:dyDescent="0.15"/>
    <row r="378" ht="29.1" customHeight="1" x14ac:dyDescent="0.15"/>
    <row r="379" ht="29.1" customHeight="1" x14ac:dyDescent="0.15"/>
    <row r="380" ht="29.1" customHeight="1" x14ac:dyDescent="0.15"/>
    <row r="381" ht="29.1" customHeight="1" x14ac:dyDescent="0.15"/>
    <row r="382" ht="29.1" customHeight="1" x14ac:dyDescent="0.15"/>
    <row r="383" ht="29.1" customHeight="1" x14ac:dyDescent="0.15"/>
    <row r="384" ht="29.1" customHeight="1" x14ac:dyDescent="0.15"/>
    <row r="385" ht="29.1" customHeight="1" x14ac:dyDescent="0.15"/>
    <row r="386" ht="29.1" customHeight="1" x14ac:dyDescent="0.15"/>
    <row r="387" ht="29.1" customHeight="1" x14ac:dyDescent="0.15"/>
    <row r="388" ht="29.1" customHeight="1" x14ac:dyDescent="0.15"/>
    <row r="389" ht="29.1" customHeight="1" x14ac:dyDescent="0.15"/>
    <row r="390" ht="29.1" customHeight="1" x14ac:dyDescent="0.15"/>
    <row r="391" ht="29.1" customHeight="1" x14ac:dyDescent="0.15"/>
    <row r="392" ht="29.1" customHeight="1" x14ac:dyDescent="0.15"/>
    <row r="393" ht="29.1" customHeight="1" x14ac:dyDescent="0.15"/>
    <row r="394" ht="29.1" customHeight="1" x14ac:dyDescent="0.15"/>
    <row r="395" ht="29.1" customHeight="1" x14ac:dyDescent="0.15"/>
    <row r="396" ht="29.1" customHeight="1" x14ac:dyDescent="0.15"/>
    <row r="397" ht="29.1" customHeight="1" x14ac:dyDescent="0.15"/>
    <row r="398" ht="29.1" customHeight="1" x14ac:dyDescent="0.15"/>
    <row r="399" ht="29.1" customHeight="1" x14ac:dyDescent="0.15"/>
    <row r="400" ht="29.1" customHeight="1" x14ac:dyDescent="0.15"/>
    <row r="401" ht="29.1" customHeight="1" x14ac:dyDescent="0.15"/>
    <row r="402" ht="29.1" customHeight="1" x14ac:dyDescent="0.15"/>
    <row r="403" ht="29.1" customHeight="1" x14ac:dyDescent="0.15"/>
    <row r="404" ht="29.1" customHeight="1" x14ac:dyDescent="0.15"/>
    <row r="405" ht="29.1" customHeight="1" x14ac:dyDescent="0.15"/>
    <row r="406" ht="29.1" customHeight="1" x14ac:dyDescent="0.15"/>
    <row r="407" ht="29.1" customHeight="1" x14ac:dyDescent="0.15"/>
    <row r="408" ht="29.1" customHeight="1" x14ac:dyDescent="0.15"/>
    <row r="409" ht="29.1" customHeight="1" x14ac:dyDescent="0.15"/>
    <row r="410" ht="29.1" customHeight="1" x14ac:dyDescent="0.15"/>
    <row r="411" ht="29.1" customHeight="1" x14ac:dyDescent="0.15"/>
    <row r="412" ht="29.1" customHeight="1" x14ac:dyDescent="0.15"/>
    <row r="413" ht="29.1" customHeight="1" x14ac:dyDescent="0.15"/>
    <row r="414" ht="29.1" customHeight="1" x14ac:dyDescent="0.15"/>
    <row r="415" ht="29.1" customHeight="1" x14ac:dyDescent="0.15"/>
    <row r="416" ht="29.1" customHeight="1" x14ac:dyDescent="0.15"/>
    <row r="417" ht="29.1" customHeight="1" x14ac:dyDescent="0.15"/>
    <row r="418" ht="29.1" customHeight="1" x14ac:dyDescent="0.15"/>
    <row r="419" ht="29.1" customHeight="1" x14ac:dyDescent="0.15"/>
    <row r="420" ht="29.1" customHeight="1" x14ac:dyDescent="0.15"/>
    <row r="421" ht="29.1" customHeight="1" x14ac:dyDescent="0.15"/>
    <row r="422" ht="29.1" customHeight="1" x14ac:dyDescent="0.15"/>
    <row r="423" ht="29.1" customHeight="1" x14ac:dyDescent="0.15"/>
    <row r="424" ht="29.1" customHeight="1" x14ac:dyDescent="0.15"/>
    <row r="425" ht="29.1" customHeight="1" x14ac:dyDescent="0.15"/>
    <row r="426" ht="29.1" customHeight="1" x14ac:dyDescent="0.15"/>
    <row r="427" ht="29.1" customHeight="1" x14ac:dyDescent="0.15"/>
    <row r="428" ht="29.1" customHeight="1" x14ac:dyDescent="0.15"/>
    <row r="429" ht="29.1" customHeight="1" x14ac:dyDescent="0.15"/>
    <row r="430" ht="29.1" customHeight="1" x14ac:dyDescent="0.15"/>
    <row r="431" ht="29.1" customHeight="1" x14ac:dyDescent="0.15"/>
    <row r="432" ht="29.1" customHeight="1" x14ac:dyDescent="0.15"/>
    <row r="433" ht="29.1" customHeight="1" x14ac:dyDescent="0.15"/>
    <row r="434" ht="29.1" customHeight="1" x14ac:dyDescent="0.15"/>
    <row r="435" ht="29.1" customHeight="1" x14ac:dyDescent="0.15"/>
    <row r="436" ht="29.1" customHeight="1" x14ac:dyDescent="0.15"/>
    <row r="437" ht="29.1" customHeight="1" x14ac:dyDescent="0.15"/>
    <row r="438" ht="29.1" customHeight="1" x14ac:dyDescent="0.15"/>
    <row r="439" ht="29.1" customHeight="1" x14ac:dyDescent="0.15"/>
    <row r="440" ht="29.1" customHeight="1" x14ac:dyDescent="0.15"/>
    <row r="441" ht="29.1" customHeight="1" x14ac:dyDescent="0.15"/>
    <row r="442" ht="29.1" customHeight="1" x14ac:dyDescent="0.15"/>
    <row r="443" ht="29.1" customHeight="1" x14ac:dyDescent="0.15"/>
  </sheetData>
  <mergeCells count="80">
    <mergeCell ref="A210:A212"/>
    <mergeCell ref="Q210:Q212"/>
    <mergeCell ref="B211:C211"/>
    <mergeCell ref="E211:F211"/>
    <mergeCell ref="G211:H211"/>
    <mergeCell ref="J211:K211"/>
    <mergeCell ref="L211:M211"/>
    <mergeCell ref="O211:P211"/>
    <mergeCell ref="A187:A189"/>
    <mergeCell ref="Q187:Q189"/>
    <mergeCell ref="B188:C188"/>
    <mergeCell ref="E188:F188"/>
    <mergeCell ref="G188:H188"/>
    <mergeCell ref="J188:K188"/>
    <mergeCell ref="L188:M188"/>
    <mergeCell ref="O188:P188"/>
    <mergeCell ref="A164:A166"/>
    <mergeCell ref="Q164:Q166"/>
    <mergeCell ref="B165:C165"/>
    <mergeCell ref="E165:F165"/>
    <mergeCell ref="G165:H165"/>
    <mergeCell ref="J165:K165"/>
    <mergeCell ref="L165:M165"/>
    <mergeCell ref="O165:P165"/>
    <mergeCell ref="A49:A51"/>
    <mergeCell ref="Q49:Q51"/>
    <mergeCell ref="B50:C50"/>
    <mergeCell ref="E50:F50"/>
    <mergeCell ref="G50:H50"/>
    <mergeCell ref="J50:K50"/>
    <mergeCell ref="L50:M50"/>
    <mergeCell ref="O50:P50"/>
    <mergeCell ref="A26:A28"/>
    <mergeCell ref="Q26:Q28"/>
    <mergeCell ref="B27:C27"/>
    <mergeCell ref="E27:F27"/>
    <mergeCell ref="G27:H27"/>
    <mergeCell ref="J27:K27"/>
    <mergeCell ref="L27:M27"/>
    <mergeCell ref="O27:P27"/>
    <mergeCell ref="Q3:Q5"/>
    <mergeCell ref="L4:M4"/>
    <mergeCell ref="O4:P4"/>
    <mergeCell ref="A72:A74"/>
    <mergeCell ref="Q72:Q74"/>
    <mergeCell ref="B73:C73"/>
    <mergeCell ref="E73:F73"/>
    <mergeCell ref="G73:H73"/>
    <mergeCell ref="J73:K73"/>
    <mergeCell ref="L73:M73"/>
    <mergeCell ref="O73:P73"/>
    <mergeCell ref="A3:A5"/>
    <mergeCell ref="B4:C4"/>
    <mergeCell ref="E4:F4"/>
    <mergeCell ref="G4:H4"/>
    <mergeCell ref="J4:K4"/>
    <mergeCell ref="A95:A97"/>
    <mergeCell ref="Q95:Q97"/>
    <mergeCell ref="B96:C96"/>
    <mergeCell ref="E96:F96"/>
    <mergeCell ref="G96:H96"/>
    <mergeCell ref="J96:K96"/>
    <mergeCell ref="L96:M96"/>
    <mergeCell ref="O96:P96"/>
    <mergeCell ref="A118:A120"/>
    <mergeCell ref="Q118:Q120"/>
    <mergeCell ref="B119:C119"/>
    <mergeCell ref="E119:F119"/>
    <mergeCell ref="G119:H119"/>
    <mergeCell ref="J119:K119"/>
    <mergeCell ref="L119:M119"/>
    <mergeCell ref="O119:P119"/>
    <mergeCell ref="A141:A143"/>
    <mergeCell ref="Q141:Q143"/>
    <mergeCell ref="B142:C142"/>
    <mergeCell ref="E142:F142"/>
    <mergeCell ref="G142:H142"/>
    <mergeCell ref="J142:K142"/>
    <mergeCell ref="L142:M142"/>
    <mergeCell ref="O142:P142"/>
  </mergeCells>
  <phoneticPr fontId="4" type="noConversion"/>
  <printOptions horizontalCentered="1"/>
  <pageMargins left="0.62992125984251968" right="0.39370078740157483" top="0.47244094488188981" bottom="0.31496062992125984" header="0.39370078740157483" footer="0.27559055118110237"/>
  <pageSetup paperSize="9" scale="99" orientation="landscape" r:id="rId1"/>
  <headerFooter alignWithMargins="0">
    <oddHeader xml:space="preserve">&amp;C
</oddHeader>
  </headerFooter>
  <rowBreaks count="9" manualBreakCount="9">
    <brk id="23" max="16383" man="1"/>
    <brk id="46" max="16383" man="1"/>
    <brk id="69" max="16" man="1"/>
    <brk id="92" max="16" man="1"/>
    <brk id="115" max="16" man="1"/>
    <brk id="138" max="16" man="1"/>
    <brk id="161" max="16" man="1"/>
    <brk id="184" max="16" man="1"/>
    <brk id="20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67"/>
  <sheetViews>
    <sheetView showZeros="0" view="pageBreakPreview" topLeftCell="A82" zoomScaleNormal="100" zoomScaleSheetLayoutView="100" workbookViewId="0">
      <selection activeCell="L97" sqref="L97"/>
    </sheetView>
  </sheetViews>
  <sheetFormatPr defaultColWidth="6.109375" defaultRowHeight="21.95" customHeight="1" x14ac:dyDescent="0.15"/>
  <cols>
    <col min="1" max="1" width="4.33203125" style="61" customWidth="1"/>
    <col min="2" max="2" width="5.44140625" style="9" customWidth="1"/>
    <col min="3" max="3" width="6.77734375" style="9" customWidth="1"/>
    <col min="4" max="4" width="4.77734375" style="9" customWidth="1"/>
    <col min="5" max="5" width="6.88671875" style="16" customWidth="1"/>
    <col min="6" max="6" width="6.77734375" style="16" customWidth="1"/>
    <col min="7" max="7" width="6.33203125" style="16" hidden="1" customWidth="1"/>
    <col min="8" max="8" width="6.77734375" style="9" customWidth="1"/>
    <col min="9" max="9" width="4.77734375" style="9" customWidth="1"/>
    <col min="10" max="10" width="6.77734375" style="16" customWidth="1"/>
    <col min="11" max="11" width="6.6640625" style="17" customWidth="1"/>
    <col min="12" max="12" width="5.77734375" style="18" customWidth="1"/>
    <col min="13" max="13" width="20.77734375" style="86" customWidth="1"/>
    <col min="14" max="14" width="5.77734375" style="18" customWidth="1"/>
    <col min="15" max="15" width="20.77734375" style="86" customWidth="1"/>
    <col min="16" max="16" width="5.77734375" style="9" customWidth="1"/>
    <col min="17" max="17" width="15" style="9" customWidth="1"/>
    <col min="18" max="18" width="7.33203125" style="9" customWidth="1"/>
    <col min="19" max="19" width="6.88671875" style="9" customWidth="1"/>
    <col min="20" max="21" width="6.109375" style="9" customWidth="1"/>
    <col min="22" max="22" width="6.109375" style="41" customWidth="1"/>
    <col min="23" max="23" width="1.21875" style="9" customWidth="1"/>
    <col min="24" max="24" width="6.109375" style="9" customWidth="1"/>
    <col min="25" max="25" width="6.109375" style="41" customWidth="1"/>
    <col min="26" max="26" width="5" style="9" customWidth="1"/>
    <col min="27" max="27" width="5" style="41" customWidth="1"/>
    <col min="28" max="28" width="1" style="9" customWidth="1"/>
    <col min="29" max="29" width="4.88671875" style="9" customWidth="1"/>
    <col min="30" max="30" width="4.88671875" style="41" customWidth="1"/>
    <col min="31" max="31" width="6.109375" style="9" customWidth="1"/>
    <col min="32" max="32" width="6.109375" style="41" customWidth="1"/>
    <col min="33" max="33" width="1.109375" style="9" customWidth="1"/>
    <col min="34" max="34" width="5.33203125" style="9" customWidth="1"/>
    <col min="35" max="35" width="5.33203125" style="41" customWidth="1"/>
    <col min="36" max="36" width="8.88671875" style="9" customWidth="1"/>
    <col min="37" max="37" width="8" style="9" customWidth="1"/>
    <col min="38" max="16384" width="6.109375" style="9"/>
  </cols>
  <sheetData>
    <row r="1" spans="1:39" s="74" customFormat="1" ht="30" customHeight="1" x14ac:dyDescent="0.15">
      <c r="A1" s="108" t="s">
        <v>80</v>
      </c>
      <c r="B1" s="109"/>
      <c r="C1" s="109"/>
      <c r="D1" s="109"/>
      <c r="E1" s="109"/>
      <c r="F1" s="109"/>
      <c r="G1" s="109"/>
      <c r="H1" s="110"/>
      <c r="I1" s="111"/>
      <c r="J1" s="109"/>
      <c r="K1" s="112"/>
      <c r="L1" s="111"/>
      <c r="M1" s="111"/>
      <c r="N1" s="111"/>
      <c r="O1" s="111"/>
      <c r="P1" s="111"/>
      <c r="Q1" s="111"/>
      <c r="R1" s="111"/>
      <c r="S1" s="111"/>
    </row>
    <row r="2" spans="1:39" s="61" customFormat="1" ht="11.1" customHeight="1" x14ac:dyDescent="0.15">
      <c r="A2" s="113"/>
      <c r="B2" s="113"/>
      <c r="C2" s="113"/>
      <c r="D2" s="113"/>
      <c r="E2" s="113"/>
      <c r="F2" s="113"/>
      <c r="G2" s="113"/>
      <c r="H2" s="114"/>
      <c r="I2" s="115"/>
      <c r="J2" s="113"/>
      <c r="K2" s="116"/>
      <c r="L2" s="117"/>
      <c r="M2" s="117"/>
      <c r="N2" s="117"/>
      <c r="O2" s="117"/>
      <c r="P2" s="117"/>
      <c r="Q2" s="117"/>
      <c r="R2" s="117"/>
      <c r="S2" s="115"/>
    </row>
    <row r="3" spans="1:39" s="57" customFormat="1" ht="24.95" customHeight="1" thickBot="1" x14ac:dyDescent="0.2">
      <c r="A3" s="59"/>
      <c r="B3" s="118"/>
      <c r="C3" s="118"/>
      <c r="D3" s="118"/>
      <c r="E3" s="118"/>
      <c r="F3" s="118"/>
      <c r="G3" s="118"/>
      <c r="H3" s="75"/>
      <c r="I3" s="76"/>
      <c r="J3" s="118"/>
      <c r="K3" s="77"/>
      <c r="L3" s="78"/>
      <c r="M3" s="119"/>
      <c r="N3" s="78"/>
      <c r="O3" s="119"/>
      <c r="P3" s="119"/>
      <c r="Q3" s="119"/>
      <c r="R3" s="119"/>
      <c r="S3" s="418" t="s">
        <v>214</v>
      </c>
      <c r="V3" s="79"/>
    </row>
    <row r="4" spans="1:39" s="755" customFormat="1" ht="21" customHeight="1" x14ac:dyDescent="0.15">
      <c r="A4" s="1093" t="s">
        <v>21</v>
      </c>
      <c r="B4" s="1085" t="s">
        <v>67</v>
      </c>
      <c r="C4" s="1087" t="s">
        <v>68</v>
      </c>
      <c r="D4" s="1088"/>
      <c r="E4" s="1088"/>
      <c r="F4" s="1088"/>
      <c r="G4" s="1095" t="s">
        <v>178</v>
      </c>
      <c r="H4" s="1095"/>
      <c r="I4" s="1095"/>
      <c r="J4" s="1095"/>
      <c r="K4" s="1095"/>
      <c r="L4" s="754" t="s">
        <v>197</v>
      </c>
      <c r="M4" s="754"/>
      <c r="N4" s="1096" t="s">
        <v>198</v>
      </c>
      <c r="O4" s="1097"/>
      <c r="P4" s="754" t="s">
        <v>69</v>
      </c>
      <c r="Q4" s="754"/>
      <c r="R4" s="754"/>
      <c r="S4" s="1089" t="s">
        <v>25</v>
      </c>
    </row>
    <row r="5" spans="1:39" s="755" customFormat="1" ht="35.1" customHeight="1" thickBot="1" x14ac:dyDescent="0.2">
      <c r="A5" s="1094"/>
      <c r="B5" s="1086"/>
      <c r="C5" s="1019" t="s">
        <v>70</v>
      </c>
      <c r="D5" s="1019" t="s">
        <v>71</v>
      </c>
      <c r="E5" s="1019" t="s">
        <v>72</v>
      </c>
      <c r="F5" s="1020" t="s">
        <v>73</v>
      </c>
      <c r="G5" s="756" t="s">
        <v>179</v>
      </c>
      <c r="H5" s="1021" t="s">
        <v>180</v>
      </c>
      <c r="I5" s="1022" t="s">
        <v>181</v>
      </c>
      <c r="J5" s="1023" t="s">
        <v>182</v>
      </c>
      <c r="K5" s="1023" t="s">
        <v>183</v>
      </c>
      <c r="L5" s="757" t="s">
        <v>74</v>
      </c>
      <c r="M5" s="757" t="s">
        <v>75</v>
      </c>
      <c r="N5" s="758" t="s">
        <v>74</v>
      </c>
      <c r="O5" s="758" t="s">
        <v>75</v>
      </c>
      <c r="P5" s="759" t="s">
        <v>76</v>
      </c>
      <c r="Q5" s="759" t="s">
        <v>77</v>
      </c>
      <c r="R5" s="759" t="s">
        <v>78</v>
      </c>
      <c r="S5" s="1090"/>
      <c r="AE5" s="760"/>
      <c r="AF5" s="760"/>
      <c r="AG5" s="760"/>
    </row>
    <row r="6" spans="1:39" s="773" customFormat="1" ht="24" customHeight="1" x14ac:dyDescent="0.15">
      <c r="A6" s="761">
        <v>1</v>
      </c>
      <c r="B6" s="762" t="s">
        <v>213</v>
      </c>
      <c r="C6" s="1018" t="s">
        <v>233</v>
      </c>
      <c r="D6" s="1018" t="s">
        <v>27</v>
      </c>
      <c r="E6" s="1029">
        <v>77</v>
      </c>
      <c r="F6" s="1029">
        <v>77</v>
      </c>
      <c r="G6" s="1030"/>
      <c r="H6" s="1031" t="s">
        <v>233</v>
      </c>
      <c r="I6" s="1031" t="s">
        <v>27</v>
      </c>
      <c r="J6" s="1032">
        <v>77</v>
      </c>
      <c r="K6" s="1032">
        <v>77</v>
      </c>
      <c r="L6" s="1016" t="s">
        <v>234</v>
      </c>
      <c r="M6" s="1016" t="s">
        <v>235</v>
      </c>
      <c r="N6" s="1025" t="s">
        <v>661</v>
      </c>
      <c r="O6" s="1025" t="s">
        <v>662</v>
      </c>
      <c r="P6" s="768"/>
      <c r="Q6" s="768"/>
      <c r="R6" s="768"/>
      <c r="S6" s="769"/>
      <c r="T6" s="770" t="s">
        <v>27</v>
      </c>
      <c r="U6" s="770">
        <f>COUNTIF(D6:D25,"전")</f>
        <v>11</v>
      </c>
      <c r="V6" s="771">
        <f>COUNTIF(I6:I25,"전")</f>
        <v>11</v>
      </c>
      <c r="W6" s="770" t="s">
        <v>26</v>
      </c>
      <c r="X6" s="770">
        <f>SUMIF(D6:D25,"전",F6:F25)</f>
        <v>5496</v>
      </c>
      <c r="Y6" s="771">
        <f>SUMIF(I6:I25,"전",K6:K25)</f>
        <v>5203</v>
      </c>
      <c r="Z6" s="770">
        <f>COUNTIF(AJ6:AJ25,"전국")+COUNTIF(AJ6:AJ25,"전공")</f>
        <v>0</v>
      </c>
      <c r="AA6" s="771">
        <f>COUNTIF(AK6:AK25,"전국")+COUNTIF(AK6:AK25,"전공")</f>
        <v>11</v>
      </c>
      <c r="AB6" s="770" t="s">
        <v>26</v>
      </c>
      <c r="AC6" s="770">
        <f>SUMIF(AJ6:AJ25,"전국",F6:F25)+SUMIF(AJ6:AJ25,"전공",F6:F25)</f>
        <v>0</v>
      </c>
      <c r="AD6" s="771">
        <f>SUMIF(AK6:AK25,"전국",K6:K25)+SUMIF(AK6:AK25,"전공",K6:K25)</f>
        <v>5203</v>
      </c>
      <c r="AE6" s="770">
        <f t="shared" ref="AE6:AE22" si="0">U6-Z6</f>
        <v>11</v>
      </c>
      <c r="AF6" s="771">
        <f t="shared" ref="AF6:AF22" si="1">V6-AA6</f>
        <v>0</v>
      </c>
      <c r="AG6" s="770" t="s">
        <v>26</v>
      </c>
      <c r="AH6" s="770">
        <f t="shared" ref="AH6:AH22" si="2">X6-AC6</f>
        <v>5496</v>
      </c>
      <c r="AI6" s="771">
        <f t="shared" ref="AI6:AI22" si="3">Y6-AD6</f>
        <v>0</v>
      </c>
      <c r="AJ6" s="770" t="str">
        <f t="shared" ref="AJ6:AJ25" si="4">CONCATENATE(D6,L6)</f>
        <v>전김효종</v>
      </c>
      <c r="AK6" s="770" t="str">
        <f>CONCATENATE(I6,N6)</f>
        <v>전공</v>
      </c>
      <c r="AL6" s="772"/>
      <c r="AM6" s="772"/>
    </row>
    <row r="7" spans="1:39" s="773" customFormat="1" ht="24" customHeight="1" x14ac:dyDescent="0.15">
      <c r="A7" s="774">
        <v>2</v>
      </c>
      <c r="B7" s="775" t="s">
        <v>232</v>
      </c>
      <c r="C7" s="1016" t="s">
        <v>236</v>
      </c>
      <c r="D7" s="1016" t="s">
        <v>27</v>
      </c>
      <c r="E7" s="1033">
        <v>126</v>
      </c>
      <c r="F7" s="1033">
        <v>126</v>
      </c>
      <c r="G7" s="1034"/>
      <c r="H7" s="1035" t="s">
        <v>236</v>
      </c>
      <c r="I7" s="1035" t="s">
        <v>27</v>
      </c>
      <c r="J7" s="1036">
        <v>126</v>
      </c>
      <c r="K7" s="1036">
        <v>126</v>
      </c>
      <c r="L7" s="1016" t="s">
        <v>234</v>
      </c>
      <c r="M7" s="1016" t="s">
        <v>235</v>
      </c>
      <c r="N7" s="1025" t="s">
        <v>660</v>
      </c>
      <c r="O7" s="1025" t="s">
        <v>663</v>
      </c>
      <c r="P7" s="784"/>
      <c r="Q7" s="784"/>
      <c r="R7" s="784"/>
      <c r="S7" s="785"/>
      <c r="T7" s="770" t="s">
        <v>28</v>
      </c>
      <c r="U7" s="770">
        <f>COUNTIF(D6:D25,"답")</f>
        <v>4</v>
      </c>
      <c r="V7" s="771">
        <f>COUNTIF(I6:I25,"답")</f>
        <v>4</v>
      </c>
      <c r="W7" s="770" t="s">
        <v>26</v>
      </c>
      <c r="X7" s="770">
        <f>SUMIF(D6:D25,"답",F6:F25)</f>
        <v>1887</v>
      </c>
      <c r="Y7" s="771">
        <f>SUMIF(I6:I25,"답",K6:K25)</f>
        <v>1887</v>
      </c>
      <c r="Z7" s="770">
        <f>COUNTIF(AJ6:AJ25,"답국")+COUNTIF(AJ6:AJ25,"답공")</f>
        <v>1</v>
      </c>
      <c r="AA7" s="771">
        <f>COUNTIF(AK6:AK25,"답국")+COUNTIF(AK6:AK25,"답공")</f>
        <v>4</v>
      </c>
      <c r="AB7" s="770" t="s">
        <v>26</v>
      </c>
      <c r="AC7" s="770">
        <f>SUMIF(AJ6:AJ25,"답국",F6:F25)+SUMIF(AJ6:AJ25,"답공",F6:F25)</f>
        <v>138</v>
      </c>
      <c r="AD7" s="771">
        <f>SUMIF(AK6:AK25,"답국",K6:K25)+SUMIF(AK6:AK25,"답공",K6:K25)</f>
        <v>1887</v>
      </c>
      <c r="AE7" s="770">
        <f t="shared" si="0"/>
        <v>3</v>
      </c>
      <c r="AF7" s="771">
        <f t="shared" si="1"/>
        <v>0</v>
      </c>
      <c r="AG7" s="770" t="s">
        <v>26</v>
      </c>
      <c r="AH7" s="770">
        <f t="shared" si="2"/>
        <v>1749</v>
      </c>
      <c r="AI7" s="771">
        <f t="shared" si="3"/>
        <v>0</v>
      </c>
      <c r="AJ7" s="770" t="str">
        <f t="shared" si="4"/>
        <v>전김효종</v>
      </c>
      <c r="AK7" s="770" t="str">
        <f t="shared" ref="AK7:AK70" si="5">CONCATENATE(I7,N7)</f>
        <v>전공</v>
      </c>
      <c r="AL7" s="772"/>
      <c r="AM7" s="772"/>
    </row>
    <row r="8" spans="1:39" s="773" customFormat="1" ht="24" customHeight="1" x14ac:dyDescent="0.15">
      <c r="A8" s="774">
        <v>3</v>
      </c>
      <c r="B8" s="775" t="s">
        <v>232</v>
      </c>
      <c r="C8" s="1016" t="s">
        <v>237</v>
      </c>
      <c r="D8" s="1016" t="s">
        <v>27</v>
      </c>
      <c r="E8" s="1033">
        <v>600</v>
      </c>
      <c r="F8" s="1033">
        <v>600</v>
      </c>
      <c r="G8" s="1034"/>
      <c r="H8" s="1035" t="s">
        <v>237</v>
      </c>
      <c r="I8" s="1035" t="s">
        <v>27</v>
      </c>
      <c r="J8" s="1036">
        <v>600</v>
      </c>
      <c r="K8" s="1036">
        <v>600</v>
      </c>
      <c r="L8" s="1016" t="s">
        <v>234</v>
      </c>
      <c r="M8" s="1016" t="s">
        <v>235</v>
      </c>
      <c r="N8" s="1025" t="s">
        <v>660</v>
      </c>
      <c r="O8" s="1025" t="s">
        <v>663</v>
      </c>
      <c r="P8" s="784"/>
      <c r="Q8" s="784"/>
      <c r="R8" s="784"/>
      <c r="S8" s="785"/>
      <c r="T8" s="770" t="s">
        <v>44</v>
      </c>
      <c r="U8" s="770">
        <f>COUNTIF(D6:D25,"임")</f>
        <v>0</v>
      </c>
      <c r="V8" s="771">
        <f>COUNTIF(I6:I25,"임")</f>
        <v>0</v>
      </c>
      <c r="W8" s="770" t="s">
        <v>26</v>
      </c>
      <c r="X8" s="770">
        <f>SUMIF(D6:D25,"임",F6:F25)</f>
        <v>0</v>
      </c>
      <c r="Y8" s="771">
        <f>SUMIF(I6:I25,"임",K6:K25)</f>
        <v>0</v>
      </c>
      <c r="Z8" s="770">
        <f>COUNTIF(AJ6:AJ25,"임국")+COUNTIF(AJ6:AJ25,"임공")</f>
        <v>0</v>
      </c>
      <c r="AA8" s="771">
        <f>COUNTIF(AK6:AK25,"임국")+COUNTIF(AK6:AK25,"임공")</f>
        <v>0</v>
      </c>
      <c r="AB8" s="770" t="s">
        <v>26</v>
      </c>
      <c r="AC8" s="770">
        <f>SUMIF(AJ6:AJ25,"임국",F6:F25)+SUMIF(AJ6:AJ25,"임공",F6:F25)</f>
        <v>0</v>
      </c>
      <c r="AD8" s="771">
        <f>SUMIF(AK6:AK25,"임국",K6:K25)+SUMIF(AK6:AK25,"임공",K6:K25)</f>
        <v>0</v>
      </c>
      <c r="AE8" s="770">
        <f t="shared" si="0"/>
        <v>0</v>
      </c>
      <c r="AF8" s="771">
        <f t="shared" si="1"/>
        <v>0</v>
      </c>
      <c r="AG8" s="770" t="s">
        <v>26</v>
      </c>
      <c r="AH8" s="770">
        <f t="shared" si="2"/>
        <v>0</v>
      </c>
      <c r="AI8" s="771">
        <f t="shared" si="3"/>
        <v>0</v>
      </c>
      <c r="AJ8" s="770" t="str">
        <f t="shared" si="4"/>
        <v>전김효종</v>
      </c>
      <c r="AK8" s="770" t="str">
        <f t="shared" si="5"/>
        <v>전공</v>
      </c>
      <c r="AL8" s="772"/>
      <c r="AM8" s="772"/>
    </row>
    <row r="9" spans="1:39" s="773" customFormat="1" ht="24" customHeight="1" x14ac:dyDescent="0.15">
      <c r="A9" s="774">
        <v>4</v>
      </c>
      <c r="B9" s="775" t="s">
        <v>232</v>
      </c>
      <c r="C9" s="1016" t="s">
        <v>239</v>
      </c>
      <c r="D9" s="1016" t="s">
        <v>28</v>
      </c>
      <c r="E9" s="1033">
        <v>12</v>
      </c>
      <c r="F9" s="1033">
        <v>12</v>
      </c>
      <c r="G9" s="1034"/>
      <c r="H9" s="1035" t="s">
        <v>239</v>
      </c>
      <c r="I9" s="1035" t="s">
        <v>28</v>
      </c>
      <c r="J9" s="1036">
        <v>12</v>
      </c>
      <c r="K9" s="1036">
        <v>12</v>
      </c>
      <c r="L9" s="1016" t="s">
        <v>234</v>
      </c>
      <c r="M9" s="1016" t="s">
        <v>235</v>
      </c>
      <c r="N9" s="1025" t="s">
        <v>660</v>
      </c>
      <c r="O9" s="1025" t="s">
        <v>663</v>
      </c>
      <c r="P9" s="784"/>
      <c r="Q9" s="784"/>
      <c r="R9" s="784"/>
      <c r="S9" s="785"/>
      <c r="T9" s="770" t="s">
        <v>45</v>
      </c>
      <c r="U9" s="770">
        <f>COUNTIF(D6:D25,"대")</f>
        <v>1</v>
      </c>
      <c r="V9" s="771">
        <f>COUNTIF(I6:I25,"대")</f>
        <v>1</v>
      </c>
      <c r="W9" s="770" t="s">
        <v>26</v>
      </c>
      <c r="X9" s="770">
        <f>SUMIF(D6:D25,"대",F6:F25)</f>
        <v>229</v>
      </c>
      <c r="Y9" s="771">
        <f>SUMIF(I6:I25,"대",K6:K25)</f>
        <v>229</v>
      </c>
      <c r="Z9" s="770">
        <f>COUNTIF(AJ6:AJ25,"대국")+COUNTIF(AJ6:AJ25,"대공")</f>
        <v>0</v>
      </c>
      <c r="AA9" s="771">
        <f>COUNTIF(AK6:AK25,"대국")+COUNTIF(AK6:AK25,"대공")</f>
        <v>1</v>
      </c>
      <c r="AB9" s="770" t="s">
        <v>26</v>
      </c>
      <c r="AC9" s="770">
        <f>SUMIF(AJ6:AJ25,"대국",F6:F25)+SUMIF(AJ6:AJ25,"대공",F6:F25)</f>
        <v>0</v>
      </c>
      <c r="AD9" s="771">
        <f>SUMIF(AK6:AK25,"대국",K6:K25)+SUMIF(AK6:AK25,"대공",K6:K25)</f>
        <v>229</v>
      </c>
      <c r="AE9" s="770">
        <f t="shared" si="0"/>
        <v>1</v>
      </c>
      <c r="AF9" s="771">
        <f t="shared" si="1"/>
        <v>0</v>
      </c>
      <c r="AG9" s="770" t="s">
        <v>26</v>
      </c>
      <c r="AH9" s="770">
        <f t="shared" si="2"/>
        <v>229</v>
      </c>
      <c r="AI9" s="771">
        <f t="shared" si="3"/>
        <v>0</v>
      </c>
      <c r="AJ9" s="770" t="str">
        <f t="shared" si="4"/>
        <v>답김효종</v>
      </c>
      <c r="AK9" s="770" t="str">
        <f t="shared" si="5"/>
        <v>답공</v>
      </c>
      <c r="AL9" s="772"/>
      <c r="AM9" s="772"/>
    </row>
    <row r="10" spans="1:39" s="773" customFormat="1" ht="24" customHeight="1" x14ac:dyDescent="0.15">
      <c r="A10" s="774">
        <v>5</v>
      </c>
      <c r="B10" s="775" t="s">
        <v>232</v>
      </c>
      <c r="C10" s="1016" t="s">
        <v>240</v>
      </c>
      <c r="D10" s="1016" t="s">
        <v>28</v>
      </c>
      <c r="E10" s="1033">
        <v>1599</v>
      </c>
      <c r="F10" s="1033">
        <v>1599</v>
      </c>
      <c r="G10" s="1034"/>
      <c r="H10" s="1035" t="s">
        <v>240</v>
      </c>
      <c r="I10" s="1035" t="s">
        <v>28</v>
      </c>
      <c r="J10" s="1036">
        <v>1599</v>
      </c>
      <c r="K10" s="1036">
        <v>1599</v>
      </c>
      <c r="L10" s="1016" t="s">
        <v>247</v>
      </c>
      <c r="M10" s="1016" t="s">
        <v>248</v>
      </c>
      <c r="N10" s="1025" t="s">
        <v>660</v>
      </c>
      <c r="O10" s="1025" t="s">
        <v>663</v>
      </c>
      <c r="P10" s="784"/>
      <c r="Q10" s="784"/>
      <c r="R10" s="784"/>
      <c r="S10" s="785"/>
      <c r="T10" s="770" t="s">
        <v>31</v>
      </c>
      <c r="U10" s="770">
        <f>COUNTIF(D6:D25,"도")</f>
        <v>2</v>
      </c>
      <c r="V10" s="771">
        <f>COUNTIF(I6:I25,"도")</f>
        <v>2</v>
      </c>
      <c r="W10" s="770" t="s">
        <v>26</v>
      </c>
      <c r="X10" s="770">
        <f>SUMIF(D6:D25,"도",F6:F25)</f>
        <v>354</v>
      </c>
      <c r="Y10" s="771">
        <f>SUMIF(I6:I25,"도",K6:K25)</f>
        <v>354</v>
      </c>
      <c r="Z10" s="770">
        <f>COUNTIF(AJ6:AJ25,"도국")+COUNTIF(AJ6:AJ25,"도공")</f>
        <v>2</v>
      </c>
      <c r="AA10" s="771">
        <f>COUNTIF(AK6:AK25,"도국")+COUNTIF(AK6:AK25,"도공")</f>
        <v>2</v>
      </c>
      <c r="AB10" s="770" t="s">
        <v>26</v>
      </c>
      <c r="AC10" s="770">
        <f>SUMIF(AJ6:AJ25,"도국",F6:F25)+SUMIF(AJ6:AJ25,"도공",F6:F25)</f>
        <v>354</v>
      </c>
      <c r="AD10" s="771">
        <f>SUMIF(AK6:AK25,"도국",K6:K25)+SUMIF(AK6:AK25,"도공",K6:K25)</f>
        <v>354</v>
      </c>
      <c r="AE10" s="770">
        <f t="shared" si="0"/>
        <v>0</v>
      </c>
      <c r="AF10" s="771">
        <f t="shared" si="1"/>
        <v>0</v>
      </c>
      <c r="AG10" s="770" t="s">
        <v>26</v>
      </c>
      <c r="AH10" s="770">
        <f t="shared" si="2"/>
        <v>0</v>
      </c>
      <c r="AI10" s="771">
        <f t="shared" si="3"/>
        <v>0</v>
      </c>
      <c r="AJ10" s="770" t="str">
        <f t="shared" si="4"/>
        <v>답이명신외 2인</v>
      </c>
      <c r="AK10" s="770" t="str">
        <f t="shared" si="5"/>
        <v>답공</v>
      </c>
      <c r="AL10" s="772"/>
      <c r="AM10" s="772"/>
    </row>
    <row r="11" spans="1:39" s="773" customFormat="1" ht="24" customHeight="1" x14ac:dyDescent="0.15">
      <c r="A11" s="774">
        <v>6</v>
      </c>
      <c r="B11" s="775" t="s">
        <v>232</v>
      </c>
      <c r="C11" s="1016" t="s">
        <v>241</v>
      </c>
      <c r="D11" s="1016" t="s">
        <v>154</v>
      </c>
      <c r="E11" s="1033">
        <v>50</v>
      </c>
      <c r="F11" s="1033">
        <v>50</v>
      </c>
      <c r="G11" s="1034"/>
      <c r="H11" s="1035" t="s">
        <v>241</v>
      </c>
      <c r="I11" s="1035" t="s">
        <v>154</v>
      </c>
      <c r="J11" s="1036">
        <v>50</v>
      </c>
      <c r="K11" s="1036">
        <v>50</v>
      </c>
      <c r="L11" s="1016" t="s">
        <v>155</v>
      </c>
      <c r="M11" s="1016" t="s">
        <v>188</v>
      </c>
      <c r="N11" s="1025" t="s">
        <v>155</v>
      </c>
      <c r="O11" s="1025" t="s">
        <v>188</v>
      </c>
      <c r="P11" s="784"/>
      <c r="Q11" s="784"/>
      <c r="R11" s="784"/>
      <c r="S11" s="785"/>
      <c r="T11" s="770" t="s">
        <v>32</v>
      </c>
      <c r="U11" s="786">
        <f>COUNTIF(D6:D25,"천")</f>
        <v>1</v>
      </c>
      <c r="V11" s="787">
        <f>COUNTIF(I6:I25,"천")</f>
        <v>1</v>
      </c>
      <c r="W11" s="770" t="s">
        <v>26</v>
      </c>
      <c r="X11" s="770">
        <f>SUMIF(D6:D25,"천",F6:F25)</f>
        <v>1084</v>
      </c>
      <c r="Y11" s="771">
        <f>SUMIF(I6:I25,"천",K6:K25)</f>
        <v>1084</v>
      </c>
      <c r="Z11" s="770">
        <f>COUNTIF(AJ6:AJ25,"천국")+COUNTIF(AJ6:AJ25,"천공")</f>
        <v>1</v>
      </c>
      <c r="AA11" s="771">
        <f>COUNTIF(AK6:AK25,"천국")+COUNTIF(AK6:AK25,"천공")</f>
        <v>1</v>
      </c>
      <c r="AB11" s="770" t="s">
        <v>26</v>
      </c>
      <c r="AC11" s="770">
        <f>SUMIF(AJ6:AJ25,"천국",F6:F25)+SUMIF(AJ6:AJ25,"천공",F6:F25)</f>
        <v>1084</v>
      </c>
      <c r="AD11" s="771">
        <f>SUMIF(AK6:AK25,"천국",K6:K25)+SUMIF(AK6:AK25,"천공",K6:K25)</f>
        <v>1084</v>
      </c>
      <c r="AE11" s="770">
        <f t="shared" si="0"/>
        <v>0</v>
      </c>
      <c r="AF11" s="771">
        <f t="shared" si="1"/>
        <v>0</v>
      </c>
      <c r="AG11" s="770" t="s">
        <v>26</v>
      </c>
      <c r="AH11" s="770">
        <f t="shared" si="2"/>
        <v>0</v>
      </c>
      <c r="AI11" s="771">
        <f t="shared" si="3"/>
        <v>0</v>
      </c>
      <c r="AJ11" s="770" t="str">
        <f t="shared" si="4"/>
        <v>도국</v>
      </c>
      <c r="AK11" s="770" t="str">
        <f t="shared" si="5"/>
        <v>도국</v>
      </c>
      <c r="AL11" s="772"/>
      <c r="AM11" s="772"/>
    </row>
    <row r="12" spans="1:39" s="773" customFormat="1" ht="24" customHeight="1" x14ac:dyDescent="0.15">
      <c r="A12" s="774">
        <v>7</v>
      </c>
      <c r="B12" s="775" t="s">
        <v>232</v>
      </c>
      <c r="C12" s="1016" t="s">
        <v>242</v>
      </c>
      <c r="D12" s="1016" t="s">
        <v>27</v>
      </c>
      <c r="E12" s="1033">
        <v>459</v>
      </c>
      <c r="F12" s="1033">
        <v>459</v>
      </c>
      <c r="G12" s="1034"/>
      <c r="H12" s="1035" t="s">
        <v>242</v>
      </c>
      <c r="I12" s="1035" t="s">
        <v>27</v>
      </c>
      <c r="J12" s="1036">
        <v>459</v>
      </c>
      <c r="K12" s="1036">
        <v>459</v>
      </c>
      <c r="L12" s="1016" t="s">
        <v>249</v>
      </c>
      <c r="M12" s="1016" t="s">
        <v>269</v>
      </c>
      <c r="N12" s="1025" t="s">
        <v>660</v>
      </c>
      <c r="O12" s="1025" t="s">
        <v>663</v>
      </c>
      <c r="P12" s="784"/>
      <c r="Q12" s="784"/>
      <c r="R12" s="784"/>
      <c r="S12" s="785"/>
      <c r="T12" s="770" t="s">
        <v>33</v>
      </c>
      <c r="U12" s="770">
        <f>COUNTIF(D6:D25,"구")</f>
        <v>1</v>
      </c>
      <c r="V12" s="771">
        <f>COUNTIF(I6:I25,"구")</f>
        <v>1</v>
      </c>
      <c r="W12" s="770" t="s">
        <v>26</v>
      </c>
      <c r="X12" s="770">
        <f>SUMIF(D6:D25,"구",F6:F25)</f>
        <v>193</v>
      </c>
      <c r="Y12" s="771">
        <f>SUMIF(I6:I25,"구",K6:K25)</f>
        <v>193</v>
      </c>
      <c r="Z12" s="770">
        <f>COUNTIF(AJ6:AJ25,"구국")+COUNTIF(AJ6:AJ25,"구공")</f>
        <v>0</v>
      </c>
      <c r="AA12" s="771">
        <f>COUNTIF(AK6:AK25,"구국")+COUNTIF(AK6:AK25,"구공")</f>
        <v>1</v>
      </c>
      <c r="AB12" s="770" t="s">
        <v>26</v>
      </c>
      <c r="AC12" s="770">
        <f>SUMIF(AJ6:AJ25,"구국",F6:F25)+SUMIF(AJ6:AJ25,"구공",F6:F25)</f>
        <v>0</v>
      </c>
      <c r="AD12" s="771">
        <f>SUMIF(AK6:AK25,"구국",K6:K25)+SUMIF(AK6:AK25,"구공",K6:K25)</f>
        <v>193</v>
      </c>
      <c r="AE12" s="770">
        <f t="shared" si="0"/>
        <v>1</v>
      </c>
      <c r="AF12" s="771">
        <f t="shared" si="1"/>
        <v>0</v>
      </c>
      <c r="AG12" s="770" t="s">
        <v>26</v>
      </c>
      <c r="AH12" s="770">
        <f t="shared" si="2"/>
        <v>193</v>
      </c>
      <c r="AI12" s="771">
        <f t="shared" si="3"/>
        <v>0</v>
      </c>
      <c r="AJ12" s="770" t="str">
        <f t="shared" si="4"/>
        <v>전박오환</v>
      </c>
      <c r="AK12" s="770" t="str">
        <f t="shared" si="5"/>
        <v>전공</v>
      </c>
      <c r="AL12" s="772"/>
      <c r="AM12" s="772"/>
    </row>
    <row r="13" spans="1:39" s="773" customFormat="1" ht="24" customHeight="1" x14ac:dyDescent="0.15">
      <c r="A13" s="774">
        <v>8</v>
      </c>
      <c r="B13" s="775" t="s">
        <v>232</v>
      </c>
      <c r="C13" s="1016" t="s">
        <v>243</v>
      </c>
      <c r="D13" s="1016" t="s">
        <v>244</v>
      </c>
      <c r="E13" s="1033">
        <v>193</v>
      </c>
      <c r="F13" s="1033">
        <v>193</v>
      </c>
      <c r="G13" s="1034"/>
      <c r="H13" s="1035" t="s">
        <v>243</v>
      </c>
      <c r="I13" s="1035" t="s">
        <v>244</v>
      </c>
      <c r="J13" s="1036">
        <v>193</v>
      </c>
      <c r="K13" s="1036">
        <v>193</v>
      </c>
      <c r="L13" s="1016" t="s">
        <v>249</v>
      </c>
      <c r="M13" s="1016" t="s">
        <v>269</v>
      </c>
      <c r="N13" s="1025" t="s">
        <v>660</v>
      </c>
      <c r="O13" s="1025" t="s">
        <v>663</v>
      </c>
      <c r="P13" s="784"/>
      <c r="Q13" s="784"/>
      <c r="R13" s="784"/>
      <c r="S13" s="785"/>
      <c r="T13" s="770" t="s">
        <v>34</v>
      </c>
      <c r="U13" s="770">
        <f>COUNTIF(D6:D25,"제")</f>
        <v>0</v>
      </c>
      <c r="V13" s="771">
        <f>COUNTIF(I6:I25,"제")</f>
        <v>0</v>
      </c>
      <c r="W13" s="770" t="s">
        <v>26</v>
      </c>
      <c r="X13" s="770">
        <f>SUMIF(D6:D25,"제",F6:F25)</f>
        <v>0</v>
      </c>
      <c r="Y13" s="771">
        <f>SUMIF(I6:I25,"제",K6:K25)</f>
        <v>0</v>
      </c>
      <c r="Z13" s="770">
        <f>COUNTIF(AJ6:AJ25,"제국")+COUNTIF(AJ6:AJ25,"제공")</f>
        <v>0</v>
      </c>
      <c r="AA13" s="771">
        <f>COUNTIF(AK6:AK25,"제국")+COUNTIF(AK6:AK25,"제공")</f>
        <v>0</v>
      </c>
      <c r="AB13" s="770" t="s">
        <v>26</v>
      </c>
      <c r="AC13" s="770">
        <f>SUMIF(AJ6:AJ25,"제국",F6:F25)+SUMIF(AJ6:AJ25,"제공",F6:F25)</f>
        <v>0</v>
      </c>
      <c r="AD13" s="771">
        <f>SUMIF(AK6:AK25,"제국",K6:K25)+SUMIF(AK6:AK25,"제공",K6:K25)</f>
        <v>0</v>
      </c>
      <c r="AE13" s="770">
        <f t="shared" si="0"/>
        <v>0</v>
      </c>
      <c r="AF13" s="771">
        <f t="shared" si="1"/>
        <v>0</v>
      </c>
      <c r="AG13" s="770" t="s">
        <v>26</v>
      </c>
      <c r="AH13" s="770">
        <f t="shared" si="2"/>
        <v>0</v>
      </c>
      <c r="AI13" s="771">
        <f t="shared" si="3"/>
        <v>0</v>
      </c>
      <c r="AJ13" s="770" t="str">
        <f t="shared" si="4"/>
        <v>구박오환</v>
      </c>
      <c r="AK13" s="770" t="str">
        <f t="shared" si="5"/>
        <v>구공</v>
      </c>
      <c r="AL13" s="772"/>
      <c r="AM13" s="772"/>
    </row>
    <row r="14" spans="1:39" s="773" customFormat="1" ht="24" customHeight="1" x14ac:dyDescent="0.15">
      <c r="A14" s="774">
        <v>9</v>
      </c>
      <c r="B14" s="775" t="s">
        <v>232</v>
      </c>
      <c r="C14" s="1016" t="s">
        <v>245</v>
      </c>
      <c r="D14" s="1016" t="s">
        <v>154</v>
      </c>
      <c r="E14" s="1033">
        <v>304</v>
      </c>
      <c r="F14" s="1033">
        <v>304</v>
      </c>
      <c r="G14" s="1034"/>
      <c r="H14" s="1035" t="s">
        <v>245</v>
      </c>
      <c r="I14" s="1035" t="s">
        <v>154</v>
      </c>
      <c r="J14" s="1036">
        <v>304</v>
      </c>
      <c r="K14" s="1036">
        <v>304</v>
      </c>
      <c r="L14" s="1016" t="s">
        <v>155</v>
      </c>
      <c r="M14" s="1016" t="s">
        <v>188</v>
      </c>
      <c r="N14" s="1025" t="s">
        <v>155</v>
      </c>
      <c r="O14" s="1025" t="s">
        <v>188</v>
      </c>
      <c r="P14" s="784"/>
      <c r="Q14" s="784"/>
      <c r="R14" s="784"/>
      <c r="S14" s="785"/>
      <c r="T14" s="770" t="s">
        <v>46</v>
      </c>
      <c r="U14" s="770">
        <f>COUNTIF(D6:D25,"유")</f>
        <v>0</v>
      </c>
      <c r="V14" s="771">
        <f>COUNTIF(I6:I25,"유")</f>
        <v>0</v>
      </c>
      <c r="W14" s="770" t="s">
        <v>26</v>
      </c>
      <c r="X14" s="770">
        <f>SUMIF(D6:D25,"유",F6:F25)</f>
        <v>0</v>
      </c>
      <c r="Y14" s="771">
        <f>SUMIF(I6:I25,"유",K6:K25)</f>
        <v>0</v>
      </c>
      <c r="Z14" s="770">
        <f>COUNTIF(AJ6:AJ25,"유국")+COUNTIF(AJ6:AJ25,"유공")</f>
        <v>0</v>
      </c>
      <c r="AA14" s="771">
        <f>COUNTIF(AK6:AK25,"유국")+COUNTIF(AK6:AK25,"유공")</f>
        <v>0</v>
      </c>
      <c r="AB14" s="770" t="s">
        <v>26</v>
      </c>
      <c r="AC14" s="770">
        <f>SUMIF(AJ6:AJ25,"유국",F6:F25)+SUMIF(AJ6:AJ25,"유공",F6:F25)</f>
        <v>0</v>
      </c>
      <c r="AD14" s="771">
        <f>SUMIF(AK6:AK25,"유국",K6:K25)+SUMIF(AK6:AK25,"유공",K6:K25)</f>
        <v>0</v>
      </c>
      <c r="AE14" s="770">
        <f t="shared" si="0"/>
        <v>0</v>
      </c>
      <c r="AF14" s="771">
        <f t="shared" si="1"/>
        <v>0</v>
      </c>
      <c r="AG14" s="770" t="s">
        <v>26</v>
      </c>
      <c r="AH14" s="770">
        <f t="shared" si="2"/>
        <v>0</v>
      </c>
      <c r="AI14" s="771">
        <f t="shared" si="3"/>
        <v>0</v>
      </c>
      <c r="AJ14" s="770" t="str">
        <f t="shared" si="4"/>
        <v>도국</v>
      </c>
      <c r="AK14" s="770" t="str">
        <f t="shared" si="5"/>
        <v>도국</v>
      </c>
      <c r="AL14" s="772"/>
      <c r="AM14" s="772"/>
    </row>
    <row r="15" spans="1:39" s="773" customFormat="1" ht="24" customHeight="1" x14ac:dyDescent="0.15">
      <c r="A15" s="774">
        <v>10</v>
      </c>
      <c r="B15" s="775" t="s">
        <v>232</v>
      </c>
      <c r="C15" s="1016" t="s">
        <v>246</v>
      </c>
      <c r="D15" s="1016" t="s">
        <v>27</v>
      </c>
      <c r="E15" s="1033">
        <v>1212</v>
      </c>
      <c r="F15" s="1033">
        <v>1212</v>
      </c>
      <c r="G15" s="1034"/>
      <c r="H15" s="1035" t="s">
        <v>246</v>
      </c>
      <c r="I15" s="1035" t="s">
        <v>27</v>
      </c>
      <c r="J15" s="1036">
        <v>1212</v>
      </c>
      <c r="K15" s="1036">
        <v>1212</v>
      </c>
      <c r="L15" s="1016" t="s">
        <v>249</v>
      </c>
      <c r="M15" s="1016" t="s">
        <v>270</v>
      </c>
      <c r="N15" s="1025" t="s">
        <v>660</v>
      </c>
      <c r="O15" s="1025" t="s">
        <v>663</v>
      </c>
      <c r="P15" s="784"/>
      <c r="Q15" s="784"/>
      <c r="R15" s="784"/>
      <c r="S15" s="785"/>
      <c r="T15" s="770" t="s">
        <v>47</v>
      </c>
      <c r="U15" s="770">
        <f>COUNTIF(D6:D25,"과")</f>
        <v>0</v>
      </c>
      <c r="V15" s="771">
        <f>COUNTIF(I6:I25,"과")</f>
        <v>0</v>
      </c>
      <c r="W15" s="770" t="s">
        <v>26</v>
      </c>
      <c r="X15" s="770">
        <f>SUMIF(D6:D25,"과",F6:F25)</f>
        <v>0</v>
      </c>
      <c r="Y15" s="771">
        <f>SUMIF(I6:I25,"과",K6:K25)</f>
        <v>0</v>
      </c>
      <c r="Z15" s="770">
        <f>COUNTIF(AJ6:AJ25,"과국")+COUNTIF(AJ6:AJ25,"과공")</f>
        <v>0</v>
      </c>
      <c r="AA15" s="771">
        <f>COUNTIF(AK6:AK25,"과국")+COUNTIF(AK6:AK25,"과공")</f>
        <v>0</v>
      </c>
      <c r="AB15" s="770" t="s">
        <v>26</v>
      </c>
      <c r="AC15" s="770">
        <f>SUMIF(AJ6:AJ25,"과국",F6:F25)+SUMIF(AJ6:AJ25,"과공",F6:F25)</f>
        <v>0</v>
      </c>
      <c r="AD15" s="771">
        <f>SUMIF(AK6:AK25,"과국",K6:K25)+SUMIF(AK6:AK25,"과공",K6:K25)</f>
        <v>0</v>
      </c>
      <c r="AE15" s="770">
        <f t="shared" si="0"/>
        <v>0</v>
      </c>
      <c r="AF15" s="771">
        <f t="shared" si="1"/>
        <v>0</v>
      </c>
      <c r="AG15" s="770" t="s">
        <v>26</v>
      </c>
      <c r="AH15" s="770">
        <f t="shared" si="2"/>
        <v>0</v>
      </c>
      <c r="AI15" s="771">
        <f t="shared" si="3"/>
        <v>0</v>
      </c>
      <c r="AJ15" s="770" t="str">
        <f t="shared" si="4"/>
        <v>전박오환</v>
      </c>
      <c r="AK15" s="770" t="str">
        <f t="shared" si="5"/>
        <v>전공</v>
      </c>
      <c r="AL15" s="772"/>
      <c r="AM15" s="772"/>
    </row>
    <row r="16" spans="1:39" s="773" customFormat="1" ht="24" customHeight="1" x14ac:dyDescent="0.15">
      <c r="A16" s="774">
        <v>11</v>
      </c>
      <c r="B16" s="775" t="s">
        <v>232</v>
      </c>
      <c r="C16" s="1017">
        <v>342</v>
      </c>
      <c r="D16" s="1016" t="s">
        <v>27</v>
      </c>
      <c r="E16" s="1033">
        <v>73</v>
      </c>
      <c r="F16" s="1033">
        <v>73</v>
      </c>
      <c r="G16" s="779"/>
      <c r="H16" s="1028">
        <v>342</v>
      </c>
      <c r="I16" s="1025" t="s">
        <v>27</v>
      </c>
      <c r="J16" s="1036">
        <v>73</v>
      </c>
      <c r="K16" s="1036">
        <v>73</v>
      </c>
      <c r="L16" s="1016" t="s">
        <v>257</v>
      </c>
      <c r="M16" s="1016" t="s">
        <v>258</v>
      </c>
      <c r="N16" s="1025" t="s">
        <v>664</v>
      </c>
      <c r="O16" s="1025" t="s">
        <v>663</v>
      </c>
      <c r="P16" s="784"/>
      <c r="Q16" s="784"/>
      <c r="R16" s="784"/>
      <c r="S16" s="785"/>
      <c r="T16" s="770" t="s">
        <v>36</v>
      </c>
      <c r="U16" s="770">
        <f>COUNTIF(D6:D25,"묘")</f>
        <v>0</v>
      </c>
      <c r="V16" s="771">
        <f>COUNTIF(I6:I25,"묘")</f>
        <v>0</v>
      </c>
      <c r="W16" s="770" t="s">
        <v>26</v>
      </c>
      <c r="X16" s="770">
        <f>SUMIF(D6:D25,"묘",F6:F25)</f>
        <v>0</v>
      </c>
      <c r="Y16" s="771">
        <f>SUMIF(I6:I25,"묘",K6:K25)</f>
        <v>0</v>
      </c>
      <c r="Z16" s="770">
        <f>COUNTIF(AJ6:AJ25,"묘국")+COUNTIF(AJ6:AJ25,"묘공")</f>
        <v>0</v>
      </c>
      <c r="AA16" s="771">
        <f>COUNTIF(AK6:AK25,"묘국")+COUNTIF(AK6:AK25,"묘공")</f>
        <v>0</v>
      </c>
      <c r="AB16" s="770" t="s">
        <v>26</v>
      </c>
      <c r="AC16" s="770">
        <f>SUMIF(AJ6:AJ25,"묘국",F6:F25)+SUMIF(AJ6:AJ25,"묘공",F6:F25)</f>
        <v>0</v>
      </c>
      <c r="AD16" s="771">
        <f>SUMIF(AK6:AK25,"묘국",K6:K25)+SUMIF(AK6:AK25,"묘공",K6:K25)</f>
        <v>0</v>
      </c>
      <c r="AE16" s="770">
        <f t="shared" si="0"/>
        <v>0</v>
      </c>
      <c r="AF16" s="771">
        <f t="shared" si="1"/>
        <v>0</v>
      </c>
      <c r="AG16" s="770" t="s">
        <v>26</v>
      </c>
      <c r="AH16" s="770">
        <f t="shared" si="2"/>
        <v>0</v>
      </c>
      <c r="AI16" s="771">
        <f t="shared" si="3"/>
        <v>0</v>
      </c>
      <c r="AJ16" s="770" t="str">
        <f t="shared" si="4"/>
        <v>전최현식</v>
      </c>
      <c r="AK16" s="770" t="str">
        <f t="shared" si="5"/>
        <v>전공</v>
      </c>
      <c r="AL16" s="772"/>
      <c r="AM16" s="772"/>
    </row>
    <row r="17" spans="1:39" s="773" customFormat="1" ht="24" customHeight="1" x14ac:dyDescent="0.15">
      <c r="A17" s="774">
        <v>12</v>
      </c>
      <c r="B17" s="775" t="s">
        <v>232</v>
      </c>
      <c r="C17" s="1016" t="s">
        <v>250</v>
      </c>
      <c r="D17" s="1016" t="s">
        <v>27</v>
      </c>
      <c r="E17" s="1033">
        <v>1413</v>
      </c>
      <c r="F17" s="1033">
        <v>1413</v>
      </c>
      <c r="G17" s="779"/>
      <c r="H17" s="1025" t="s">
        <v>250</v>
      </c>
      <c r="I17" s="1025" t="s">
        <v>27</v>
      </c>
      <c r="J17" s="1036">
        <v>1413</v>
      </c>
      <c r="K17" s="1036">
        <v>1413</v>
      </c>
      <c r="L17" s="1016" t="s">
        <v>259</v>
      </c>
      <c r="M17" s="1016" t="s">
        <v>271</v>
      </c>
      <c r="N17" s="1025" t="s">
        <v>660</v>
      </c>
      <c r="O17" s="1025" t="s">
        <v>663</v>
      </c>
      <c r="P17" s="784"/>
      <c r="Q17" s="784"/>
      <c r="R17" s="784"/>
      <c r="S17" s="785"/>
      <c r="T17" s="770" t="s">
        <v>39</v>
      </c>
      <c r="U17" s="770">
        <f>COUNTIF(D6:D25,"수")</f>
        <v>0</v>
      </c>
      <c r="V17" s="771">
        <f>COUNTIF(I6:I25,"수")</f>
        <v>0</v>
      </c>
      <c r="W17" s="770" t="s">
        <v>26</v>
      </c>
      <c r="X17" s="770">
        <f>SUMIF(D6:D25,"수",F6:F25)</f>
        <v>0</v>
      </c>
      <c r="Y17" s="771">
        <f>SUMIF(I6:I25,"수",K6:K25)</f>
        <v>0</v>
      </c>
      <c r="Z17" s="770">
        <f>COUNTIF(AJ6:AJ25,"수국")+COUNTIF(AJ6:AJ25,"수공")</f>
        <v>0</v>
      </c>
      <c r="AA17" s="771">
        <f>COUNTIF(AK6:AK25,"수국")+COUNTIF(AK6:AK25,"수공")</f>
        <v>0</v>
      </c>
      <c r="AB17" s="770" t="s">
        <v>26</v>
      </c>
      <c r="AC17" s="770">
        <f>SUMIF(AJ6:AJ25,"수국",F6:F25)+SUMIF(AJ6:AJ25,"수공",F6:F25)</f>
        <v>0</v>
      </c>
      <c r="AD17" s="771">
        <f>SUMIF(AK6:AK25,"수국",K6:K25)+SUMIF(AK6:AK25,"수공",K6:K25)</f>
        <v>0</v>
      </c>
      <c r="AE17" s="770">
        <f t="shared" si="0"/>
        <v>0</v>
      </c>
      <c r="AF17" s="771">
        <f t="shared" si="1"/>
        <v>0</v>
      </c>
      <c r="AG17" s="770" t="s">
        <v>26</v>
      </c>
      <c r="AH17" s="770">
        <f t="shared" si="2"/>
        <v>0</v>
      </c>
      <c r="AI17" s="771">
        <f t="shared" si="3"/>
        <v>0</v>
      </c>
      <c r="AJ17" s="770" t="str">
        <f t="shared" si="4"/>
        <v>전이상익</v>
      </c>
      <c r="AK17" s="770" t="str">
        <f t="shared" si="5"/>
        <v>전공</v>
      </c>
      <c r="AL17" s="772"/>
      <c r="AM17" s="772"/>
    </row>
    <row r="18" spans="1:39" s="773" customFormat="1" ht="24" customHeight="1" x14ac:dyDescent="0.15">
      <c r="A18" s="774">
        <v>13</v>
      </c>
      <c r="B18" s="775" t="s">
        <v>232</v>
      </c>
      <c r="C18" s="1016" t="s">
        <v>251</v>
      </c>
      <c r="D18" s="1016" t="s">
        <v>156</v>
      </c>
      <c r="E18" s="1033">
        <v>229</v>
      </c>
      <c r="F18" s="1033">
        <v>229</v>
      </c>
      <c r="G18" s="779"/>
      <c r="H18" s="1025" t="s">
        <v>251</v>
      </c>
      <c r="I18" s="1025" t="s">
        <v>156</v>
      </c>
      <c r="J18" s="1036">
        <v>229</v>
      </c>
      <c r="K18" s="1036">
        <v>229</v>
      </c>
      <c r="L18" s="1016" t="s">
        <v>260</v>
      </c>
      <c r="M18" s="1016" t="s">
        <v>261</v>
      </c>
      <c r="N18" s="1025" t="s">
        <v>660</v>
      </c>
      <c r="O18" s="1025" t="s">
        <v>663</v>
      </c>
      <c r="P18" s="784"/>
      <c r="Q18" s="784"/>
      <c r="R18" s="784"/>
      <c r="S18" s="785"/>
      <c r="T18" s="770" t="s">
        <v>35</v>
      </c>
      <c r="U18" s="770">
        <f>COUNTIF(D6:D25,"잡")</f>
        <v>0</v>
      </c>
      <c r="V18" s="771">
        <f>COUNTIF(I6:I25,"잡")</f>
        <v>0</v>
      </c>
      <c r="W18" s="770" t="s">
        <v>26</v>
      </c>
      <c r="X18" s="770">
        <f>SUMIF(D6:D25,"잡",F6:F25)</f>
        <v>0</v>
      </c>
      <c r="Y18" s="771">
        <f>SUMIF(I6:I25,"잡",K6:K25)</f>
        <v>0</v>
      </c>
      <c r="Z18" s="770">
        <f>COUNTIF(AJ6:AJ25,"잡국")+COUNTIF(AJ6:AJ25,"잡공")</f>
        <v>0</v>
      </c>
      <c r="AA18" s="771">
        <f>COUNTIF(AK6:AK25,"잡국")+COUNTIF(AK6:AK25,"잡공")</f>
        <v>0</v>
      </c>
      <c r="AB18" s="770" t="s">
        <v>26</v>
      </c>
      <c r="AC18" s="770">
        <f>SUMIF(AJ6:AJ25,"잡국",F6:F25)+SUMIF(AJ6:AJ25,"잡공",F6:F25)</f>
        <v>0</v>
      </c>
      <c r="AD18" s="771">
        <f>SUMIF(AK6:AK25,"잡국",K6:K25)+SUMIF(AK6:AK25,"잡공",K6:K25)</f>
        <v>0</v>
      </c>
      <c r="AE18" s="770">
        <f t="shared" si="0"/>
        <v>0</v>
      </c>
      <c r="AF18" s="771">
        <f t="shared" si="1"/>
        <v>0</v>
      </c>
      <c r="AG18" s="770" t="s">
        <v>26</v>
      </c>
      <c r="AH18" s="770">
        <f t="shared" si="2"/>
        <v>0</v>
      </c>
      <c r="AI18" s="771">
        <f t="shared" si="3"/>
        <v>0</v>
      </c>
      <c r="AJ18" s="770" t="str">
        <f t="shared" si="4"/>
        <v>대양명자</v>
      </c>
      <c r="AK18" s="770" t="str">
        <f t="shared" si="5"/>
        <v>대공</v>
      </c>
      <c r="AL18" s="772"/>
      <c r="AM18" s="772"/>
    </row>
    <row r="19" spans="1:39" s="773" customFormat="1" ht="24" customHeight="1" x14ac:dyDescent="0.15">
      <c r="A19" s="774">
        <v>14</v>
      </c>
      <c r="B19" s="775" t="s">
        <v>232</v>
      </c>
      <c r="C19" s="1017">
        <v>1059</v>
      </c>
      <c r="D19" s="1016" t="s">
        <v>252</v>
      </c>
      <c r="E19" s="1033">
        <v>299405</v>
      </c>
      <c r="F19" s="1033">
        <v>1084</v>
      </c>
      <c r="G19" s="779"/>
      <c r="H19" s="1028">
        <v>1059</v>
      </c>
      <c r="I19" s="1025" t="s">
        <v>252</v>
      </c>
      <c r="J19" s="1036">
        <v>299405</v>
      </c>
      <c r="K19" s="1036">
        <v>1084</v>
      </c>
      <c r="L19" s="1016" t="s">
        <v>155</v>
      </c>
      <c r="M19" s="1016" t="s">
        <v>188</v>
      </c>
      <c r="N19" s="1025" t="s">
        <v>155</v>
      </c>
      <c r="O19" s="1025" t="s">
        <v>188</v>
      </c>
      <c r="P19" s="784"/>
      <c r="Q19" s="784"/>
      <c r="R19" s="784"/>
      <c r="S19" s="785"/>
      <c r="T19" s="770" t="s">
        <v>51</v>
      </c>
      <c r="U19" s="770">
        <f>COUNTIF(D6:D25,"체")</f>
        <v>0</v>
      </c>
      <c r="V19" s="771">
        <f>COUNTIF(I6:I25,"체")</f>
        <v>0</v>
      </c>
      <c r="W19" s="770" t="s">
        <v>26</v>
      </c>
      <c r="X19" s="770">
        <f>SUMIF(D6:D25,"체",F6:F25)</f>
        <v>0</v>
      </c>
      <c r="Y19" s="771">
        <f>SUMIF(I6:I25,"체",K6:K25)</f>
        <v>0</v>
      </c>
      <c r="Z19" s="770">
        <f>COUNTIF(AJ6:AJ25,"체국")+COUNTIF(AJ6:AJ25,"체공")</f>
        <v>0</v>
      </c>
      <c r="AA19" s="771">
        <f>COUNTIF(AK6:AK25,"체국")+COUNTIF(AK6:AK25,"체공")</f>
        <v>0</v>
      </c>
      <c r="AB19" s="770" t="s">
        <v>26</v>
      </c>
      <c r="AC19" s="770">
        <f>SUMIF(AJ6:AJ25,"체국",F6:F25)+SUMIF(AJ6:AJ25,"체공",F6:F25)</f>
        <v>0</v>
      </c>
      <c r="AD19" s="771">
        <f>SUMIF(AK6:AK25,"체국",K6:K25)+SUMIF(AK6:AK25,"체공",K6:K25)</f>
        <v>0</v>
      </c>
      <c r="AE19" s="770">
        <f t="shared" si="0"/>
        <v>0</v>
      </c>
      <c r="AF19" s="771">
        <f t="shared" si="1"/>
        <v>0</v>
      </c>
      <c r="AG19" s="770" t="s">
        <v>26</v>
      </c>
      <c r="AH19" s="770">
        <f t="shared" si="2"/>
        <v>0</v>
      </c>
      <c r="AI19" s="771">
        <f t="shared" si="3"/>
        <v>0</v>
      </c>
      <c r="AJ19" s="770" t="str">
        <f t="shared" si="4"/>
        <v>천국</v>
      </c>
      <c r="AK19" s="770" t="str">
        <f t="shared" si="5"/>
        <v>천국</v>
      </c>
      <c r="AL19" s="772"/>
      <c r="AM19" s="772"/>
    </row>
    <row r="20" spans="1:39" s="773" customFormat="1" ht="24" customHeight="1" x14ac:dyDescent="0.15">
      <c r="A20" s="774">
        <v>15</v>
      </c>
      <c r="B20" s="775" t="s">
        <v>232</v>
      </c>
      <c r="C20" s="1016" t="s">
        <v>253</v>
      </c>
      <c r="D20" s="1016" t="s">
        <v>28</v>
      </c>
      <c r="E20" s="1033">
        <v>138</v>
      </c>
      <c r="F20" s="1033">
        <v>138</v>
      </c>
      <c r="G20" s="779"/>
      <c r="H20" s="1025" t="s">
        <v>253</v>
      </c>
      <c r="I20" s="1025" t="s">
        <v>28</v>
      </c>
      <c r="J20" s="1036">
        <v>138</v>
      </c>
      <c r="K20" s="1036">
        <v>138</v>
      </c>
      <c r="L20" s="1016" t="s">
        <v>262</v>
      </c>
      <c r="M20" s="1016" t="s">
        <v>263</v>
      </c>
      <c r="N20" s="1025" t="s">
        <v>660</v>
      </c>
      <c r="O20" s="1025" t="s">
        <v>663</v>
      </c>
      <c r="P20" s="784"/>
      <c r="Q20" s="784"/>
      <c r="R20" s="784"/>
      <c r="S20" s="785"/>
      <c r="T20" s="770" t="s">
        <v>50</v>
      </c>
      <c r="U20" s="770">
        <f>COUNTIF(D6:D25,"공")</f>
        <v>0</v>
      </c>
      <c r="V20" s="771">
        <f>COUNTIF(I6:I25,"공")</f>
        <v>0</v>
      </c>
      <c r="W20" s="770" t="s">
        <v>26</v>
      </c>
      <c r="X20" s="770">
        <f>SUMIF(D6:D25,"공",F6:F25)</f>
        <v>0</v>
      </c>
      <c r="Y20" s="771">
        <f>SUMIF(I6:I25,"공",K6:K25)</f>
        <v>0</v>
      </c>
      <c r="Z20" s="770">
        <f>COUNTIF(AJ6:AJ25,"공국")+COUNTIF(AJ6:AJ25,"공공")</f>
        <v>0</v>
      </c>
      <c r="AA20" s="771">
        <f>COUNTIF(AK6:AK25,"공국")+COUNTIF(AK6:AK25,"공공")</f>
        <v>0</v>
      </c>
      <c r="AB20" s="770" t="s">
        <v>26</v>
      </c>
      <c r="AC20" s="770">
        <f>SUMIF(AJ6:AJ25,"공국",F6:F25)+SUMIF(AJ6:AJ25,"공공",F6:F25)</f>
        <v>0</v>
      </c>
      <c r="AD20" s="771">
        <f>SUMIF(AK6:AK25,"공국",K6:K25)+SUMIF(AK6:AK25,"공공",K6:K25)</f>
        <v>0</v>
      </c>
      <c r="AE20" s="770">
        <f t="shared" si="0"/>
        <v>0</v>
      </c>
      <c r="AF20" s="771">
        <f t="shared" si="1"/>
        <v>0</v>
      </c>
      <c r="AG20" s="770" t="s">
        <v>26</v>
      </c>
      <c r="AH20" s="770">
        <f t="shared" si="2"/>
        <v>0</v>
      </c>
      <c r="AI20" s="771">
        <f t="shared" si="3"/>
        <v>0</v>
      </c>
      <c r="AJ20" s="770" t="str">
        <f t="shared" si="4"/>
        <v>답오봉식</v>
      </c>
      <c r="AK20" s="770" t="str">
        <f t="shared" si="5"/>
        <v>답공</v>
      </c>
      <c r="AL20" s="772"/>
      <c r="AM20" s="772"/>
    </row>
    <row r="21" spans="1:39" s="773" customFormat="1" ht="24" customHeight="1" x14ac:dyDescent="0.15">
      <c r="A21" s="774">
        <v>16</v>
      </c>
      <c r="B21" s="775" t="s">
        <v>232</v>
      </c>
      <c r="C21" s="1016" t="s">
        <v>254</v>
      </c>
      <c r="D21" s="1016" t="s">
        <v>27</v>
      </c>
      <c r="E21" s="1033">
        <v>92</v>
      </c>
      <c r="F21" s="1033">
        <v>92</v>
      </c>
      <c r="G21" s="779"/>
      <c r="H21" s="1025" t="s">
        <v>254</v>
      </c>
      <c r="I21" s="1025" t="s">
        <v>27</v>
      </c>
      <c r="J21" s="1036">
        <v>92</v>
      </c>
      <c r="K21" s="1036">
        <v>92</v>
      </c>
      <c r="L21" s="1016" t="s">
        <v>264</v>
      </c>
      <c r="M21" s="1016" t="s">
        <v>265</v>
      </c>
      <c r="N21" s="1025" t="s">
        <v>660</v>
      </c>
      <c r="O21" s="1025" t="s">
        <v>663</v>
      </c>
      <c r="P21" s="784"/>
      <c r="Q21" s="784"/>
      <c r="R21" s="784"/>
      <c r="S21" s="785"/>
      <c r="T21" s="791" t="s">
        <v>40</v>
      </c>
      <c r="U21" s="770">
        <f>COUNTIF(D6:D25,"장")</f>
        <v>0</v>
      </c>
      <c r="V21" s="771">
        <f>COUNTIF(I6:I25,"장")</f>
        <v>0</v>
      </c>
      <c r="W21" s="770" t="s">
        <v>26</v>
      </c>
      <c r="X21" s="770">
        <f>SUMIF(D6:D25,"장",F6:F25)</f>
        <v>0</v>
      </c>
      <c r="Y21" s="771">
        <f>SUMIF(I6:I25,"장",K6:K25)</f>
        <v>0</v>
      </c>
      <c r="Z21" s="770">
        <f>COUNTIF(AJ6:AJ25,"장국")+COUNTIF(AJ6:AJ25,"장공")</f>
        <v>0</v>
      </c>
      <c r="AA21" s="771">
        <f>COUNTIF(AK6:AK25,"장국")+COUNTIF(AK6:AK25,"장공")</f>
        <v>0</v>
      </c>
      <c r="AB21" s="770" t="s">
        <v>26</v>
      </c>
      <c r="AC21" s="770">
        <f>SUMIF(AJ6:AJ25,"장국",F6:F25)+SUMIF(AJ6:AJ25,"장공",F6:F25)</f>
        <v>0</v>
      </c>
      <c r="AD21" s="771">
        <f>SUMIF(AK6:AK25,"장국",K6:K25)+SUMIF(AK6:AK25,"장공",K6:K25)</f>
        <v>0</v>
      </c>
      <c r="AE21" s="770">
        <f t="shared" si="0"/>
        <v>0</v>
      </c>
      <c r="AF21" s="771">
        <f t="shared" si="1"/>
        <v>0</v>
      </c>
      <c r="AG21" s="770" t="s">
        <v>26</v>
      </c>
      <c r="AH21" s="770">
        <f t="shared" si="2"/>
        <v>0</v>
      </c>
      <c r="AI21" s="771">
        <f t="shared" si="3"/>
        <v>0</v>
      </c>
      <c r="AJ21" s="770" t="str">
        <f t="shared" si="4"/>
        <v>전김성권</v>
      </c>
      <c r="AK21" s="770" t="str">
        <f t="shared" si="5"/>
        <v>전공</v>
      </c>
      <c r="AL21" s="772"/>
      <c r="AM21" s="772"/>
    </row>
    <row r="22" spans="1:39" s="773" customFormat="1" ht="24" customHeight="1" x14ac:dyDescent="0.15">
      <c r="A22" s="774">
        <v>17</v>
      </c>
      <c r="B22" s="775" t="s">
        <v>232</v>
      </c>
      <c r="C22" s="1017">
        <v>345</v>
      </c>
      <c r="D22" s="1016" t="s">
        <v>27</v>
      </c>
      <c r="E22" s="1033">
        <v>479</v>
      </c>
      <c r="F22" s="1033">
        <v>479</v>
      </c>
      <c r="G22" s="779"/>
      <c r="H22" s="1028">
        <v>345</v>
      </c>
      <c r="I22" s="1025" t="s">
        <v>27</v>
      </c>
      <c r="J22" s="1036">
        <v>479</v>
      </c>
      <c r="K22" s="1036">
        <v>186</v>
      </c>
      <c r="L22" s="1016" t="s">
        <v>259</v>
      </c>
      <c r="M22" s="1016" t="s">
        <v>271</v>
      </c>
      <c r="N22" s="1025" t="s">
        <v>661</v>
      </c>
      <c r="O22" s="1025" t="s">
        <v>662</v>
      </c>
      <c r="P22" s="784"/>
      <c r="Q22" s="784"/>
      <c r="R22" s="784"/>
      <c r="S22" s="785"/>
      <c r="T22" s="791" t="s">
        <v>79</v>
      </c>
      <c r="U22" s="770">
        <f>COUNTIF(D6:D25,"목")</f>
        <v>0</v>
      </c>
      <c r="V22" s="771">
        <f>COUNTIF(I6:I25,"목")</f>
        <v>0</v>
      </c>
      <c r="W22" s="770" t="s">
        <v>26</v>
      </c>
      <c r="X22" s="770">
        <f>SUMIF(D6:D25,"목",F6:F25)</f>
        <v>0</v>
      </c>
      <c r="Y22" s="771">
        <f>SUMIF(I6:I25,"목",K6:K25)</f>
        <v>0</v>
      </c>
      <c r="Z22" s="770">
        <f>COUNTIF(AJ6:AJ25,"목국")+COUNTIF(AJ6:AJ25,"목공")</f>
        <v>0</v>
      </c>
      <c r="AA22" s="771">
        <f>COUNTIF(AK6:AK25,"목국")+COUNTIF(AK6:AK25,"목공")</f>
        <v>0</v>
      </c>
      <c r="AB22" s="770" t="s">
        <v>26</v>
      </c>
      <c r="AC22" s="770">
        <f>SUMIF(AJ6:AJ25,"목국",F6:F25)+SUMIF(AJ6:AJ25,"목공",F6:F25)</f>
        <v>0</v>
      </c>
      <c r="AD22" s="771">
        <f>SUMIF(AK6:AK25,"목국",K6:K25)+SUMIF(AK6:AK25,"목공",K6:K25)</f>
        <v>0</v>
      </c>
      <c r="AE22" s="770">
        <f t="shared" si="0"/>
        <v>0</v>
      </c>
      <c r="AF22" s="771">
        <f t="shared" si="1"/>
        <v>0</v>
      </c>
      <c r="AG22" s="770" t="s">
        <v>26</v>
      </c>
      <c r="AH22" s="770">
        <f t="shared" si="2"/>
        <v>0</v>
      </c>
      <c r="AI22" s="771">
        <f t="shared" si="3"/>
        <v>0</v>
      </c>
      <c r="AJ22" s="770" t="str">
        <f t="shared" si="4"/>
        <v>전이상익</v>
      </c>
      <c r="AK22" s="770" t="str">
        <f t="shared" si="5"/>
        <v>전공</v>
      </c>
      <c r="AL22" s="772"/>
      <c r="AM22" s="772"/>
    </row>
    <row r="23" spans="1:39" s="773" customFormat="1" ht="24" customHeight="1" x14ac:dyDescent="0.15">
      <c r="A23" s="774">
        <v>18</v>
      </c>
      <c r="B23" s="775" t="s">
        <v>232</v>
      </c>
      <c r="C23" s="1016" t="s">
        <v>255</v>
      </c>
      <c r="D23" s="1016" t="s">
        <v>28</v>
      </c>
      <c r="E23" s="1033">
        <v>138</v>
      </c>
      <c r="F23" s="1033">
        <v>138</v>
      </c>
      <c r="G23" s="779"/>
      <c r="H23" s="1025" t="s">
        <v>255</v>
      </c>
      <c r="I23" s="1025" t="s">
        <v>28</v>
      </c>
      <c r="J23" s="1036">
        <v>138</v>
      </c>
      <c r="K23" s="1036">
        <v>138</v>
      </c>
      <c r="L23" s="1016" t="s">
        <v>155</v>
      </c>
      <c r="M23" s="1016" t="s">
        <v>266</v>
      </c>
      <c r="N23" s="1025" t="s">
        <v>155</v>
      </c>
      <c r="O23" s="1025" t="s">
        <v>266</v>
      </c>
      <c r="P23" s="793"/>
      <c r="Q23" s="784"/>
      <c r="R23" s="784"/>
      <c r="S23" s="785"/>
      <c r="T23" s="791"/>
      <c r="U23" s="791"/>
      <c r="V23" s="792"/>
      <c r="W23" s="791"/>
      <c r="X23" s="791"/>
      <c r="Y23" s="792"/>
      <c r="Z23" s="770"/>
      <c r="AA23" s="771"/>
      <c r="AB23" s="791"/>
      <c r="AC23" s="770"/>
      <c r="AD23" s="771"/>
      <c r="AE23" s="791"/>
      <c r="AF23" s="792"/>
      <c r="AG23" s="791"/>
      <c r="AH23" s="791"/>
      <c r="AI23" s="792"/>
      <c r="AJ23" s="770" t="str">
        <f t="shared" si="4"/>
        <v>답국</v>
      </c>
      <c r="AK23" s="770" t="str">
        <f t="shared" si="5"/>
        <v>답국</v>
      </c>
      <c r="AL23" s="772"/>
      <c r="AM23" s="772"/>
    </row>
    <row r="24" spans="1:39" s="773" customFormat="1" ht="24" customHeight="1" x14ac:dyDescent="0.15">
      <c r="A24" s="774">
        <v>19</v>
      </c>
      <c r="B24" s="775" t="s">
        <v>232</v>
      </c>
      <c r="C24" s="1016" t="s">
        <v>256</v>
      </c>
      <c r="D24" s="1016" t="s">
        <v>27</v>
      </c>
      <c r="E24" s="1033">
        <v>58</v>
      </c>
      <c r="F24" s="1033">
        <v>58</v>
      </c>
      <c r="G24" s="779"/>
      <c r="H24" s="1025" t="s">
        <v>256</v>
      </c>
      <c r="I24" s="1025" t="s">
        <v>27</v>
      </c>
      <c r="J24" s="1036">
        <v>58</v>
      </c>
      <c r="K24" s="1036">
        <v>58</v>
      </c>
      <c r="L24" s="1016" t="s">
        <v>267</v>
      </c>
      <c r="M24" s="1016" t="s">
        <v>268</v>
      </c>
      <c r="N24" s="1025" t="s">
        <v>660</v>
      </c>
      <c r="O24" s="1025" t="s">
        <v>662</v>
      </c>
      <c r="P24" s="1116"/>
      <c r="Q24" s="784"/>
      <c r="R24" s="784"/>
      <c r="S24" s="785"/>
      <c r="T24" s="791"/>
      <c r="U24" s="791"/>
      <c r="V24" s="792"/>
      <c r="W24" s="791"/>
      <c r="X24" s="791"/>
      <c r="Y24" s="792"/>
      <c r="Z24" s="770"/>
      <c r="AA24" s="771"/>
      <c r="AB24" s="791"/>
      <c r="AC24" s="770"/>
      <c r="AD24" s="771"/>
      <c r="AE24" s="791"/>
      <c r="AF24" s="792"/>
      <c r="AG24" s="791"/>
      <c r="AH24" s="791"/>
      <c r="AI24" s="792"/>
      <c r="AJ24" s="770" t="str">
        <f t="shared" si="4"/>
        <v>전김대곤외 4인</v>
      </c>
      <c r="AK24" s="770" t="str">
        <f t="shared" si="5"/>
        <v>전공</v>
      </c>
      <c r="AL24" s="772"/>
      <c r="AM24" s="772"/>
    </row>
    <row r="25" spans="1:39" s="773" customFormat="1" ht="24" customHeight="1" x14ac:dyDescent="0.15">
      <c r="A25" s="774">
        <v>20</v>
      </c>
      <c r="B25" s="775" t="s">
        <v>232</v>
      </c>
      <c r="C25" s="1016" t="s">
        <v>272</v>
      </c>
      <c r="D25" s="1016" t="s">
        <v>27</v>
      </c>
      <c r="E25" s="1033">
        <v>907</v>
      </c>
      <c r="F25" s="1033">
        <v>907</v>
      </c>
      <c r="G25" s="779"/>
      <c r="H25" s="1025" t="s">
        <v>272</v>
      </c>
      <c r="I25" s="1025" t="s">
        <v>27</v>
      </c>
      <c r="J25" s="1036">
        <v>907</v>
      </c>
      <c r="K25" s="1036">
        <v>907</v>
      </c>
      <c r="L25" s="1016" t="s">
        <v>282</v>
      </c>
      <c r="M25" s="1016" t="s">
        <v>268</v>
      </c>
      <c r="N25" s="1025" t="s">
        <v>661</v>
      </c>
      <c r="O25" s="1025" t="s">
        <v>662</v>
      </c>
      <c r="P25" s="816"/>
      <c r="Q25" s="816"/>
      <c r="R25" s="784"/>
      <c r="S25" s="785"/>
      <c r="T25" s="794" t="s">
        <v>37</v>
      </c>
      <c r="U25" s="794">
        <f>COUNTIF(D6:D25,"철")</f>
        <v>0</v>
      </c>
      <c r="V25" s="795">
        <f>COUNTIF(I6:I25,"철")</f>
        <v>0</v>
      </c>
      <c r="W25" s="794" t="s">
        <v>26</v>
      </c>
      <c r="X25" s="794">
        <f>SUMIF(D6:D25,"철",F6:F25)</f>
        <v>0</v>
      </c>
      <c r="Y25" s="795">
        <f>SUMIF(I6:I25,"철",K6:K25)</f>
        <v>0</v>
      </c>
      <c r="Z25" s="770">
        <f>COUNTIF(AJ6:AJ25,"철국")+COUNTIF(AJ6:AJ25,"철공")</f>
        <v>0</v>
      </c>
      <c r="AA25" s="771">
        <f>COUNTIF(AK6:AK25,"철국")+COUNTIF(AK6:AK25,"철공")</f>
        <v>0</v>
      </c>
      <c r="AB25" s="794" t="s">
        <v>26</v>
      </c>
      <c r="AC25" s="770">
        <f>SUMIF(AJ6:AJ25,"철국",F6:F25)+SUMIF(AJ6:AJ25,"철공",F6:F25)</f>
        <v>0</v>
      </c>
      <c r="AD25" s="771">
        <f>SUMIF(AK6:AK25,"철국",K6:K25)+SUMIF(AK6:AK25,"철공",K6:K25)</f>
        <v>0</v>
      </c>
      <c r="AE25" s="794"/>
      <c r="AF25" s="795"/>
      <c r="AG25" s="794"/>
      <c r="AH25" s="794"/>
      <c r="AI25" s="795"/>
      <c r="AJ25" s="770" t="str">
        <f t="shared" si="4"/>
        <v>전김대곤</v>
      </c>
      <c r="AK25" s="770" t="str">
        <f t="shared" si="5"/>
        <v>전공</v>
      </c>
      <c r="AL25" s="772"/>
      <c r="AM25" s="772"/>
    </row>
    <row r="26" spans="1:39" s="755" customFormat="1" ht="24" customHeight="1" thickBot="1" x14ac:dyDescent="0.2">
      <c r="A26" s="796" t="s">
        <v>48</v>
      </c>
      <c r="B26" s="797"/>
      <c r="C26" s="797"/>
      <c r="D26" s="797"/>
      <c r="E26" s="797"/>
      <c r="F26" s="798">
        <f>SUM(F6:F25)</f>
        <v>9243</v>
      </c>
      <c r="G26" s="799"/>
      <c r="H26" s="800"/>
      <c r="I26" s="801"/>
      <c r="J26" s="802"/>
      <c r="K26" s="1014">
        <f>SUM(K6:K25)</f>
        <v>8950</v>
      </c>
      <c r="L26" s="803"/>
      <c r="M26" s="803"/>
      <c r="N26" s="804"/>
      <c r="O26" s="804"/>
      <c r="P26" s="803"/>
      <c r="Q26" s="803"/>
      <c r="R26" s="803"/>
      <c r="S26" s="805"/>
      <c r="T26" s="806" t="s">
        <v>24</v>
      </c>
      <c r="U26" s="807">
        <f t="shared" ref="U26:AA26" si="6">SUM(U6:U25)</f>
        <v>20</v>
      </c>
      <c r="V26" s="807">
        <f t="shared" si="6"/>
        <v>20</v>
      </c>
      <c r="W26" s="807">
        <f t="shared" si="6"/>
        <v>0</v>
      </c>
      <c r="X26" s="807">
        <f t="shared" si="6"/>
        <v>9243</v>
      </c>
      <c r="Y26" s="807">
        <f t="shared" si="6"/>
        <v>8950</v>
      </c>
      <c r="Z26" s="807">
        <f t="shared" si="6"/>
        <v>4</v>
      </c>
      <c r="AA26" s="807">
        <f t="shared" si="6"/>
        <v>20</v>
      </c>
      <c r="AB26" s="807" t="s">
        <v>26</v>
      </c>
      <c r="AC26" s="807">
        <f>SUM(AC6:AC25)</f>
        <v>1576</v>
      </c>
      <c r="AD26" s="807">
        <f>SUM(AD6:AD25)</f>
        <v>8950</v>
      </c>
      <c r="AE26" s="807">
        <f>SUM(AE6:AE25)</f>
        <v>16</v>
      </c>
      <c r="AF26" s="807">
        <f>SUM(AF6:AF25)</f>
        <v>0</v>
      </c>
      <c r="AG26" s="807" t="s">
        <v>26</v>
      </c>
      <c r="AH26" s="807">
        <f>SUM(AH6:AH25)</f>
        <v>7667</v>
      </c>
      <c r="AI26" s="807">
        <f>SUM(AI6:AI25)</f>
        <v>0</v>
      </c>
      <c r="AJ26" s="807"/>
      <c r="AK26" s="770" t="str">
        <f t="shared" si="5"/>
        <v/>
      </c>
    </row>
    <row r="27" spans="1:39" s="773" customFormat="1" ht="24" customHeight="1" x14ac:dyDescent="0.15">
      <c r="A27" s="808">
        <v>21</v>
      </c>
      <c r="B27" s="762" t="s">
        <v>213</v>
      </c>
      <c r="C27" s="1016" t="s">
        <v>273</v>
      </c>
      <c r="D27" s="1016" t="s">
        <v>156</v>
      </c>
      <c r="E27" s="1033">
        <v>245</v>
      </c>
      <c r="F27" s="1033">
        <v>245</v>
      </c>
      <c r="G27" s="779"/>
      <c r="H27" s="1025" t="s">
        <v>273</v>
      </c>
      <c r="I27" s="1025" t="s">
        <v>156</v>
      </c>
      <c r="J27" s="1036">
        <v>245</v>
      </c>
      <c r="K27" s="1036">
        <v>245</v>
      </c>
      <c r="L27" s="1016" t="s">
        <v>283</v>
      </c>
      <c r="M27" s="1016" t="s">
        <v>284</v>
      </c>
      <c r="N27" s="1025" t="s">
        <v>664</v>
      </c>
      <c r="O27" s="1025" t="s">
        <v>667</v>
      </c>
      <c r="P27" s="809"/>
      <c r="Q27" s="768"/>
      <c r="R27" s="768"/>
      <c r="S27" s="769"/>
      <c r="T27" s="770" t="s">
        <v>27</v>
      </c>
      <c r="U27" s="770">
        <f>COUNTIF(D27:D46,"전")</f>
        <v>7</v>
      </c>
      <c r="V27" s="771">
        <f>COUNTIF(I27:I46,"전")</f>
        <v>7</v>
      </c>
      <c r="W27" s="770" t="s">
        <v>26</v>
      </c>
      <c r="X27" s="770">
        <f>SUMIF(D27:D46,"전",F27:F46)</f>
        <v>1040</v>
      </c>
      <c r="Y27" s="771">
        <f>SUMIF(I27:I46,"전",K27:K46)</f>
        <v>1040</v>
      </c>
      <c r="Z27" s="770">
        <f>COUNTIF(AJ27:AJ46,"전국")+COUNTIF(AJ27:AJ46,"전공")</f>
        <v>0</v>
      </c>
      <c r="AA27" s="771">
        <f>COUNTIF(AK27:AK46,"전국")+COUNTIF(AK27:AK46,"전공")</f>
        <v>7</v>
      </c>
      <c r="AB27" s="770" t="s">
        <v>26</v>
      </c>
      <c r="AC27" s="770">
        <f>SUMIF(AJ27:AJ46,"전국",F27:F46)+SUMIF(AJ27:AJ46,"전공",F27:F46)</f>
        <v>0</v>
      </c>
      <c r="AD27" s="771">
        <f>SUMIF(AK27:AK46,"전국",K27:K46)+SUMIF(AK27:AK46,"전공",K27:K46)</f>
        <v>1040</v>
      </c>
      <c r="AE27" s="770">
        <f t="shared" ref="AE27:AE43" si="7">U27-Z27</f>
        <v>7</v>
      </c>
      <c r="AF27" s="771">
        <f t="shared" ref="AF27:AF43" si="8">V27-AA27</f>
        <v>0</v>
      </c>
      <c r="AG27" s="770" t="s">
        <v>26</v>
      </c>
      <c r="AH27" s="770">
        <f t="shared" ref="AH27:AH43" si="9">X27-AC27</f>
        <v>1040</v>
      </c>
      <c r="AI27" s="771">
        <f t="shared" ref="AI27:AI43" si="10">Y27-AD27</f>
        <v>0</v>
      </c>
      <c r="AJ27" s="770" t="str">
        <f t="shared" ref="AJ27:AJ45" si="11">CONCATENATE(D27,L27)</f>
        <v>대김귀례</v>
      </c>
      <c r="AK27" s="770" t="str">
        <f t="shared" si="5"/>
        <v>대공</v>
      </c>
    </row>
    <row r="28" spans="1:39" s="773" customFormat="1" ht="24" customHeight="1" x14ac:dyDescent="0.15">
      <c r="A28" s="774">
        <v>22</v>
      </c>
      <c r="B28" s="775" t="s">
        <v>232</v>
      </c>
      <c r="C28" s="1016" t="s">
        <v>275</v>
      </c>
      <c r="D28" s="1016" t="s">
        <v>27</v>
      </c>
      <c r="E28" s="1033">
        <v>47</v>
      </c>
      <c r="F28" s="1033">
        <v>47</v>
      </c>
      <c r="G28" s="779"/>
      <c r="H28" s="1025" t="s">
        <v>275</v>
      </c>
      <c r="I28" s="1025" t="s">
        <v>27</v>
      </c>
      <c r="J28" s="1036">
        <v>47</v>
      </c>
      <c r="K28" s="1036">
        <v>47</v>
      </c>
      <c r="L28" s="1016" t="s">
        <v>286</v>
      </c>
      <c r="M28" s="1016" t="s">
        <v>287</v>
      </c>
      <c r="N28" s="1025" t="s">
        <v>665</v>
      </c>
      <c r="O28" s="1025" t="s">
        <v>666</v>
      </c>
      <c r="P28" s="809"/>
      <c r="Q28" s="809"/>
      <c r="R28" s="809"/>
      <c r="S28" s="810"/>
      <c r="T28" s="770" t="s">
        <v>28</v>
      </c>
      <c r="U28" s="770">
        <f>COUNTIF(D27:D46,"답")</f>
        <v>0</v>
      </c>
      <c r="V28" s="771">
        <f>COUNTIF(I27:I46,"답")</f>
        <v>0</v>
      </c>
      <c r="W28" s="770" t="s">
        <v>26</v>
      </c>
      <c r="X28" s="770">
        <f>SUMIF(D27:D46,"답",F27:F46)</f>
        <v>0</v>
      </c>
      <c r="Y28" s="771">
        <f>SUMIF(I27:I46,"답",K27:K46)</f>
        <v>0</v>
      </c>
      <c r="Z28" s="770">
        <f>COUNTIF(AJ27:AJ46,"답국")+COUNTIF(AJ27:AJ46,"답공")</f>
        <v>0</v>
      </c>
      <c r="AA28" s="771">
        <f>COUNTIF(AK27:AK46,"답국")+COUNTIF(AK27:AK46,"답공")</f>
        <v>0</v>
      </c>
      <c r="AB28" s="770" t="s">
        <v>26</v>
      </c>
      <c r="AC28" s="770">
        <f>SUMIF(AJ27:AJ46,"답국",F27:F46)+SUMIF(AJ27:AJ46,"답공",F27:F46)</f>
        <v>0</v>
      </c>
      <c r="AD28" s="771">
        <f>SUMIF(AK27:AK46,"답국",K27:K46)+SUMIF(AK27:AK46,"답공",K27:K46)</f>
        <v>0</v>
      </c>
      <c r="AE28" s="770">
        <f t="shared" si="7"/>
        <v>0</v>
      </c>
      <c r="AF28" s="771">
        <f t="shared" si="8"/>
        <v>0</v>
      </c>
      <c r="AG28" s="770" t="s">
        <v>26</v>
      </c>
      <c r="AH28" s="770">
        <f t="shared" si="9"/>
        <v>0</v>
      </c>
      <c r="AI28" s="771">
        <f t="shared" si="10"/>
        <v>0</v>
      </c>
      <c r="AJ28" s="770" t="str">
        <f t="shared" si="11"/>
        <v>전유수호</v>
      </c>
      <c r="AK28" s="770" t="str">
        <f t="shared" si="5"/>
        <v>전공</v>
      </c>
    </row>
    <row r="29" spans="1:39" s="773" customFormat="1" ht="24" customHeight="1" x14ac:dyDescent="0.15">
      <c r="A29" s="774">
        <v>23</v>
      </c>
      <c r="B29" s="775"/>
      <c r="C29" s="1016" t="s">
        <v>276</v>
      </c>
      <c r="D29" s="1016" t="s">
        <v>27</v>
      </c>
      <c r="E29" s="1033">
        <v>227</v>
      </c>
      <c r="F29" s="1033">
        <v>227</v>
      </c>
      <c r="G29" s="779"/>
      <c r="H29" s="1025" t="s">
        <v>276</v>
      </c>
      <c r="I29" s="1025" t="s">
        <v>27</v>
      </c>
      <c r="J29" s="1036">
        <v>227</v>
      </c>
      <c r="K29" s="1036">
        <v>227</v>
      </c>
      <c r="L29" s="1016" t="s">
        <v>288</v>
      </c>
      <c r="M29" s="1016" t="s">
        <v>289</v>
      </c>
      <c r="N29" s="1025" t="s">
        <v>661</v>
      </c>
      <c r="O29" s="1025" t="s">
        <v>662</v>
      </c>
      <c r="P29" s="784"/>
      <c r="Q29" s="784"/>
      <c r="R29" s="784"/>
      <c r="S29" s="810"/>
      <c r="T29" s="770" t="s">
        <v>44</v>
      </c>
      <c r="U29" s="770">
        <f>COUNTIF(D27:D46,"임")</f>
        <v>5</v>
      </c>
      <c r="V29" s="771">
        <f>COUNTIF(I27:I46,"임")</f>
        <v>5</v>
      </c>
      <c r="W29" s="770" t="s">
        <v>26</v>
      </c>
      <c r="X29" s="770">
        <f>SUMIF(D27:D46,"임",F27:F46)</f>
        <v>2153</v>
      </c>
      <c r="Y29" s="771">
        <f>SUMIF(I27:I46,"임",K27:K46)</f>
        <v>2153</v>
      </c>
      <c r="Z29" s="770">
        <f>COUNTIF(AJ27:AJ46,"임국")+COUNTIF(AJ27:AJ46,"임공")</f>
        <v>0</v>
      </c>
      <c r="AA29" s="771">
        <f>COUNTIF(AK27:AK46,"임국")+COUNTIF(AK27:AK46,"임공")</f>
        <v>5</v>
      </c>
      <c r="AB29" s="770" t="s">
        <v>26</v>
      </c>
      <c r="AC29" s="770">
        <f>SUMIF(AJ27:AJ46,"임국",F27:F46)+SUMIF(AJ27:AJ46,"임공",F27:F46)</f>
        <v>0</v>
      </c>
      <c r="AD29" s="771">
        <f>SUMIF(AK27:AK46,"임국",K27:K46)+SUMIF(AK27:AK46,"임공",K27:K46)</f>
        <v>2153</v>
      </c>
      <c r="AE29" s="770">
        <f t="shared" si="7"/>
        <v>5</v>
      </c>
      <c r="AF29" s="771">
        <f t="shared" si="8"/>
        <v>0</v>
      </c>
      <c r="AG29" s="770" t="s">
        <v>26</v>
      </c>
      <c r="AH29" s="770">
        <f t="shared" si="9"/>
        <v>2153</v>
      </c>
      <c r="AI29" s="771">
        <f t="shared" si="10"/>
        <v>0</v>
      </c>
      <c r="AJ29" s="770" t="str">
        <f t="shared" si="11"/>
        <v>전윤창균외 1인</v>
      </c>
      <c r="AK29" s="770" t="str">
        <f t="shared" si="5"/>
        <v>전공</v>
      </c>
      <c r="AL29" s="772"/>
      <c r="AM29" s="772"/>
    </row>
    <row r="30" spans="1:39" s="773" customFormat="1" ht="24" customHeight="1" x14ac:dyDescent="0.15">
      <c r="A30" s="774">
        <v>24</v>
      </c>
      <c r="B30" s="775" t="s">
        <v>232</v>
      </c>
      <c r="C30" s="1016" t="s">
        <v>277</v>
      </c>
      <c r="D30" s="1016" t="s">
        <v>156</v>
      </c>
      <c r="E30" s="1033">
        <v>13</v>
      </c>
      <c r="F30" s="1033">
        <v>13</v>
      </c>
      <c r="G30" s="779"/>
      <c r="H30" s="1025" t="s">
        <v>277</v>
      </c>
      <c r="I30" s="1025" t="s">
        <v>156</v>
      </c>
      <c r="J30" s="1036">
        <v>13</v>
      </c>
      <c r="K30" s="1036">
        <v>13</v>
      </c>
      <c r="L30" s="1016" t="s">
        <v>290</v>
      </c>
      <c r="M30" s="1016" t="s">
        <v>291</v>
      </c>
      <c r="N30" s="1025" t="s">
        <v>660</v>
      </c>
      <c r="O30" s="1025" t="s">
        <v>663</v>
      </c>
      <c r="P30" s="784"/>
      <c r="Q30" s="784"/>
      <c r="R30" s="784"/>
      <c r="S30" s="810"/>
      <c r="T30" s="770" t="s">
        <v>45</v>
      </c>
      <c r="U30" s="770">
        <f>COUNTIF(D27:D46,"대")</f>
        <v>5</v>
      </c>
      <c r="V30" s="771">
        <f>COUNTIF(I27:I46,"대")</f>
        <v>5</v>
      </c>
      <c r="W30" s="770" t="s">
        <v>26</v>
      </c>
      <c r="X30" s="770">
        <f>SUMIF(D27:D46,"대",F27:F46)</f>
        <v>351</v>
      </c>
      <c r="Y30" s="771">
        <f>SUMIF(I27:I46,"대",K27:K46)</f>
        <v>351</v>
      </c>
      <c r="Z30" s="770">
        <f>COUNTIF(AJ27:AJ46,"대국")+COUNTIF(AJ27:AJ46,"대공")</f>
        <v>0</v>
      </c>
      <c r="AA30" s="771">
        <f>COUNTIF(AK27:AK46,"대국")+COUNTIF(AK27:AK46,"대공")</f>
        <v>5</v>
      </c>
      <c r="AB30" s="770" t="s">
        <v>26</v>
      </c>
      <c r="AC30" s="770">
        <f>SUMIF(AJ27:AJ46,"대국",F27:F46)+SUMIF(AJ27:AJ46,"대공",F27:F46)</f>
        <v>0</v>
      </c>
      <c r="AD30" s="771">
        <f>SUMIF(AK27:AK46,"대국",K27:K46)+SUMIF(AK27:AK46,"대공",K27:K46)</f>
        <v>351</v>
      </c>
      <c r="AE30" s="770">
        <f t="shared" si="7"/>
        <v>5</v>
      </c>
      <c r="AF30" s="771">
        <f t="shared" si="8"/>
        <v>0</v>
      </c>
      <c r="AG30" s="770" t="s">
        <v>26</v>
      </c>
      <c r="AH30" s="770">
        <f t="shared" si="9"/>
        <v>351</v>
      </c>
      <c r="AI30" s="771">
        <f t="shared" si="10"/>
        <v>0</v>
      </c>
      <c r="AJ30" s="770" t="str">
        <f t="shared" si="11"/>
        <v>대박재성</v>
      </c>
      <c r="AK30" s="770" t="str">
        <f t="shared" si="5"/>
        <v>대공</v>
      </c>
      <c r="AL30" s="772"/>
      <c r="AM30" s="772"/>
    </row>
    <row r="31" spans="1:39" s="773" customFormat="1" ht="24" customHeight="1" x14ac:dyDescent="0.15">
      <c r="A31" s="774">
        <v>25</v>
      </c>
      <c r="B31" s="775" t="s">
        <v>232</v>
      </c>
      <c r="C31" s="1016" t="s">
        <v>278</v>
      </c>
      <c r="D31" s="1016" t="s">
        <v>156</v>
      </c>
      <c r="E31" s="1033">
        <v>33</v>
      </c>
      <c r="F31" s="1033">
        <v>33</v>
      </c>
      <c r="G31" s="779"/>
      <c r="H31" s="1025" t="s">
        <v>278</v>
      </c>
      <c r="I31" s="1025" t="s">
        <v>156</v>
      </c>
      <c r="J31" s="1036">
        <v>33</v>
      </c>
      <c r="K31" s="1036">
        <v>33</v>
      </c>
      <c r="L31" s="1016" t="s">
        <v>290</v>
      </c>
      <c r="M31" s="1016" t="s">
        <v>291</v>
      </c>
      <c r="N31" s="1025" t="s">
        <v>660</v>
      </c>
      <c r="O31" s="1025" t="s">
        <v>663</v>
      </c>
      <c r="P31" s="784"/>
      <c r="Q31" s="784"/>
      <c r="R31" s="784"/>
      <c r="S31" s="810"/>
      <c r="T31" s="770" t="s">
        <v>31</v>
      </c>
      <c r="U31" s="770">
        <f>COUNTIF(D27:D46,"도")</f>
        <v>3</v>
      </c>
      <c r="V31" s="771">
        <f>COUNTIF(I27:I46,"도")</f>
        <v>3</v>
      </c>
      <c r="W31" s="770" t="s">
        <v>26</v>
      </c>
      <c r="X31" s="770">
        <f>SUMIF(D27:D46,"도",F27:F46)</f>
        <v>131</v>
      </c>
      <c r="Y31" s="771">
        <f>SUMIF(I27:I46,"도",K27:K46)</f>
        <v>131</v>
      </c>
      <c r="Z31" s="770">
        <f>COUNTIF(AJ27:AJ46,"도국")+COUNTIF(AJ27:AJ46,"도공")</f>
        <v>1</v>
      </c>
      <c r="AA31" s="771">
        <f>COUNTIF(AK27:AK46,"도국")+COUNTIF(AK27:AK46,"도공")</f>
        <v>3</v>
      </c>
      <c r="AB31" s="770" t="s">
        <v>26</v>
      </c>
      <c r="AC31" s="770">
        <f>SUMIF(AJ27:AJ46,"도국",F27:F46)+SUMIF(AJ27:AJ46,"도공",F27:F46)</f>
        <v>85</v>
      </c>
      <c r="AD31" s="771">
        <f>SUMIF(AK27:AK46,"도국",K27:K46)+SUMIF(AK27:AK46,"도공",K27:K46)</f>
        <v>131</v>
      </c>
      <c r="AE31" s="770">
        <f t="shared" si="7"/>
        <v>2</v>
      </c>
      <c r="AF31" s="771">
        <f t="shared" si="8"/>
        <v>0</v>
      </c>
      <c r="AG31" s="770" t="s">
        <v>26</v>
      </c>
      <c r="AH31" s="770">
        <f t="shared" si="9"/>
        <v>46</v>
      </c>
      <c r="AI31" s="771">
        <f t="shared" si="10"/>
        <v>0</v>
      </c>
      <c r="AJ31" s="770" t="str">
        <f t="shared" si="11"/>
        <v>대박재성</v>
      </c>
      <c r="AK31" s="770" t="str">
        <f t="shared" si="5"/>
        <v>대공</v>
      </c>
      <c r="AL31" s="772"/>
      <c r="AM31" s="772"/>
    </row>
    <row r="32" spans="1:39" s="773" customFormat="1" ht="24" customHeight="1" x14ac:dyDescent="0.15">
      <c r="A32" s="774">
        <v>26</v>
      </c>
      <c r="B32" s="775" t="s">
        <v>232</v>
      </c>
      <c r="C32" s="1016" t="s">
        <v>279</v>
      </c>
      <c r="D32" s="1016" t="s">
        <v>27</v>
      </c>
      <c r="E32" s="1033">
        <v>219</v>
      </c>
      <c r="F32" s="1033">
        <v>219</v>
      </c>
      <c r="G32" s="779"/>
      <c r="H32" s="1025" t="s">
        <v>279</v>
      </c>
      <c r="I32" s="1025" t="s">
        <v>27</v>
      </c>
      <c r="J32" s="1036">
        <v>219</v>
      </c>
      <c r="K32" s="1036">
        <v>219</v>
      </c>
      <c r="L32" s="1016" t="s">
        <v>292</v>
      </c>
      <c r="M32" s="1024" t="s">
        <v>295</v>
      </c>
      <c r="N32" s="1025" t="s">
        <v>660</v>
      </c>
      <c r="O32" s="1025" t="s">
        <v>663</v>
      </c>
      <c r="P32" s="784"/>
      <c r="Q32" s="784"/>
      <c r="R32" s="784"/>
      <c r="S32" s="810"/>
      <c r="T32" s="770" t="s">
        <v>32</v>
      </c>
      <c r="U32" s="786">
        <f>COUNTIF(D27:D46,"천")</f>
        <v>0</v>
      </c>
      <c r="V32" s="787">
        <f>COUNTIF(I27:I46,"천")</f>
        <v>0</v>
      </c>
      <c r="W32" s="770" t="s">
        <v>26</v>
      </c>
      <c r="X32" s="770">
        <f>SUMIF(D27:D46,"천",F27:F46)</f>
        <v>0</v>
      </c>
      <c r="Y32" s="771">
        <f>SUMIF(I27:I46,"천",K27:K46)</f>
        <v>0</v>
      </c>
      <c r="Z32" s="770">
        <f>COUNTIF(AJ27:AJ46,"천국")+COUNTIF(AJ27:AJ46,"천공")</f>
        <v>0</v>
      </c>
      <c r="AA32" s="771">
        <f>COUNTIF(AK27:AK46,"천국")+COUNTIF(AK27:AK46,"천공")</f>
        <v>0</v>
      </c>
      <c r="AB32" s="770" t="s">
        <v>26</v>
      </c>
      <c r="AC32" s="770">
        <f>SUMIF(AJ27:AJ46,"천국",F27:F46)+SUMIF(AJ27:AJ46,"천공",F27:F46)</f>
        <v>0</v>
      </c>
      <c r="AD32" s="771">
        <f>SUMIF(AK27:AK46,"천국",K27:K46)+SUMIF(AK27:AK46,"천공",K27:K46)</f>
        <v>0</v>
      </c>
      <c r="AE32" s="770">
        <f t="shared" si="7"/>
        <v>0</v>
      </c>
      <c r="AF32" s="771">
        <f t="shared" si="8"/>
        <v>0</v>
      </c>
      <c r="AG32" s="770" t="s">
        <v>26</v>
      </c>
      <c r="AH32" s="770">
        <f t="shared" si="9"/>
        <v>0</v>
      </c>
      <c r="AI32" s="771">
        <f t="shared" si="10"/>
        <v>0</v>
      </c>
      <c r="AJ32" s="770" t="str">
        <f t="shared" si="11"/>
        <v>전윤화종</v>
      </c>
      <c r="AK32" s="770" t="str">
        <f t="shared" si="5"/>
        <v>전공</v>
      </c>
      <c r="AL32" s="772"/>
      <c r="AM32" s="772"/>
    </row>
    <row r="33" spans="1:39" s="773" customFormat="1" ht="24" customHeight="1" x14ac:dyDescent="0.15">
      <c r="A33" s="774">
        <v>27</v>
      </c>
      <c r="B33" s="775" t="s">
        <v>232</v>
      </c>
      <c r="C33" s="1016" t="s">
        <v>280</v>
      </c>
      <c r="D33" s="1016" t="s">
        <v>27</v>
      </c>
      <c r="E33" s="1033">
        <v>335</v>
      </c>
      <c r="F33" s="1033">
        <v>335</v>
      </c>
      <c r="G33" s="779"/>
      <c r="H33" s="1025" t="s">
        <v>280</v>
      </c>
      <c r="I33" s="1025" t="s">
        <v>27</v>
      </c>
      <c r="J33" s="1036">
        <v>335</v>
      </c>
      <c r="K33" s="1036">
        <v>335</v>
      </c>
      <c r="L33" s="1016" t="s">
        <v>293</v>
      </c>
      <c r="M33" s="1016" t="s">
        <v>294</v>
      </c>
      <c r="N33" s="1025" t="s">
        <v>660</v>
      </c>
      <c r="O33" s="1025" t="s">
        <v>663</v>
      </c>
      <c r="P33" s="816"/>
      <c r="Q33" s="816"/>
      <c r="R33" s="784"/>
      <c r="S33" s="810"/>
      <c r="T33" s="770" t="s">
        <v>33</v>
      </c>
      <c r="U33" s="770">
        <f>COUNTIF(D27:D46,"구")</f>
        <v>0</v>
      </c>
      <c r="V33" s="771">
        <f>COUNTIF(I27:I46,"구")</f>
        <v>0</v>
      </c>
      <c r="W33" s="770" t="s">
        <v>26</v>
      </c>
      <c r="X33" s="770">
        <f>SUMIF(D27:D46,"구",F27:F46)</f>
        <v>0</v>
      </c>
      <c r="Y33" s="771">
        <f>SUMIF(I27:I46,"구",K27:K46)</f>
        <v>0</v>
      </c>
      <c r="Z33" s="770">
        <f>COUNTIF(AJ27:AJ46,"구국")+COUNTIF(AJ27:AJ46,"구공")</f>
        <v>0</v>
      </c>
      <c r="AA33" s="771">
        <f>COUNTIF(AK27:AK46,"구국")+COUNTIF(AK27:AK46,"구공")</f>
        <v>0</v>
      </c>
      <c r="AB33" s="770" t="s">
        <v>26</v>
      </c>
      <c r="AC33" s="770">
        <f>SUMIF(AJ27:AJ46,"구국",F27:F46)+SUMIF(AJ27:AJ46,"구공",F27:F46)</f>
        <v>0</v>
      </c>
      <c r="AD33" s="771">
        <f>SUMIF(AK27:AK46,"구국",K27:K46)+SUMIF(AK27:AK46,"구공",K27:K46)</f>
        <v>0</v>
      </c>
      <c r="AE33" s="770">
        <f t="shared" si="7"/>
        <v>0</v>
      </c>
      <c r="AF33" s="771">
        <f t="shared" si="8"/>
        <v>0</v>
      </c>
      <c r="AG33" s="770" t="s">
        <v>26</v>
      </c>
      <c r="AH33" s="770">
        <f t="shared" si="9"/>
        <v>0</v>
      </c>
      <c r="AI33" s="771">
        <f t="shared" si="10"/>
        <v>0</v>
      </c>
      <c r="AJ33" s="770" t="str">
        <f t="shared" si="11"/>
        <v>전이광임</v>
      </c>
      <c r="AK33" s="770" t="str">
        <f t="shared" si="5"/>
        <v>전공</v>
      </c>
      <c r="AL33" s="772"/>
      <c r="AM33" s="772"/>
    </row>
    <row r="34" spans="1:39" s="773" customFormat="1" ht="24" customHeight="1" x14ac:dyDescent="0.15">
      <c r="A34" s="774">
        <v>28</v>
      </c>
      <c r="B34" s="775" t="s">
        <v>232</v>
      </c>
      <c r="C34" s="1016" t="s">
        <v>281</v>
      </c>
      <c r="D34" s="1016" t="s">
        <v>27</v>
      </c>
      <c r="E34" s="1033">
        <v>6</v>
      </c>
      <c r="F34" s="1033">
        <v>6</v>
      </c>
      <c r="G34" s="779"/>
      <c r="H34" s="1025" t="s">
        <v>281</v>
      </c>
      <c r="I34" s="1025" t="s">
        <v>27</v>
      </c>
      <c r="J34" s="1036">
        <v>6</v>
      </c>
      <c r="K34" s="1036">
        <v>6</v>
      </c>
      <c r="L34" s="1016" t="s">
        <v>290</v>
      </c>
      <c r="M34" s="1016" t="s">
        <v>291</v>
      </c>
      <c r="N34" s="1025" t="s">
        <v>660</v>
      </c>
      <c r="O34" s="1026" t="s">
        <v>663</v>
      </c>
      <c r="P34" s="809"/>
      <c r="Q34" s="809"/>
      <c r="R34" s="784"/>
      <c r="S34" s="810"/>
      <c r="T34" s="770" t="s">
        <v>34</v>
      </c>
      <c r="U34" s="770">
        <f>COUNTIF(D27:D46,"제")</f>
        <v>0</v>
      </c>
      <c r="V34" s="771">
        <f>COUNTIF(I27:I46,"제")</f>
        <v>0</v>
      </c>
      <c r="W34" s="770" t="s">
        <v>26</v>
      </c>
      <c r="X34" s="770">
        <f>SUMIF(D27:D46,"제",F27:F46)</f>
        <v>0</v>
      </c>
      <c r="Y34" s="771">
        <f>SUMIF(I27:I46,"제",K27:K46)</f>
        <v>0</v>
      </c>
      <c r="Z34" s="770">
        <f>COUNTIF(AJ27:AJ46,"제국")+COUNTIF(AJ27:AJ46,"제공")</f>
        <v>0</v>
      </c>
      <c r="AA34" s="771">
        <f>COUNTIF(AK27:AK46,"제국")+COUNTIF(AK27:AK46,"제공")</f>
        <v>0</v>
      </c>
      <c r="AB34" s="770" t="s">
        <v>26</v>
      </c>
      <c r="AC34" s="770">
        <f>SUMIF(AJ27:AJ46,"제국",F27:F46)+SUMIF(AJ27:AJ46,"제공",F27:F46)</f>
        <v>0</v>
      </c>
      <c r="AD34" s="771">
        <f>SUMIF(AK27:AK46,"제국",K27:K46)+SUMIF(AK27:AK46,"제공",K27:K46)</f>
        <v>0</v>
      </c>
      <c r="AE34" s="770">
        <f t="shared" si="7"/>
        <v>0</v>
      </c>
      <c r="AF34" s="771">
        <f t="shared" si="8"/>
        <v>0</v>
      </c>
      <c r="AG34" s="770" t="s">
        <v>26</v>
      </c>
      <c r="AH34" s="770">
        <f t="shared" si="9"/>
        <v>0</v>
      </c>
      <c r="AI34" s="771">
        <f t="shared" si="10"/>
        <v>0</v>
      </c>
      <c r="AJ34" s="770" t="str">
        <f t="shared" si="11"/>
        <v>전박재성</v>
      </c>
      <c r="AK34" s="770" t="str">
        <f t="shared" si="5"/>
        <v>전공</v>
      </c>
      <c r="AL34" s="772"/>
      <c r="AM34" s="772"/>
    </row>
    <row r="35" spans="1:39" s="773" customFormat="1" ht="24" customHeight="1" x14ac:dyDescent="0.15">
      <c r="A35" s="774">
        <v>29</v>
      </c>
      <c r="B35" s="775" t="s">
        <v>232</v>
      </c>
      <c r="C35" s="1016" t="s">
        <v>296</v>
      </c>
      <c r="D35" s="1016" t="s">
        <v>154</v>
      </c>
      <c r="E35" s="1033">
        <v>32</v>
      </c>
      <c r="F35" s="1033">
        <v>32</v>
      </c>
      <c r="G35" s="779"/>
      <c r="H35" s="1025" t="s">
        <v>296</v>
      </c>
      <c r="I35" s="1025" t="s">
        <v>154</v>
      </c>
      <c r="J35" s="1036">
        <v>32</v>
      </c>
      <c r="K35" s="1036">
        <v>32</v>
      </c>
      <c r="L35" s="1016" t="s">
        <v>290</v>
      </c>
      <c r="M35" s="1016" t="s">
        <v>291</v>
      </c>
      <c r="N35" s="1025" t="s">
        <v>660</v>
      </c>
      <c r="O35" s="1025" t="s">
        <v>663</v>
      </c>
      <c r="P35" s="809"/>
      <c r="Q35" s="809"/>
      <c r="R35" s="816"/>
      <c r="S35" s="785"/>
      <c r="T35" s="770" t="s">
        <v>46</v>
      </c>
      <c r="U35" s="770">
        <f>COUNTIF(D27:D46,"유")</f>
        <v>0</v>
      </c>
      <c r="V35" s="771">
        <f>COUNTIF(I27:I46,"유")</f>
        <v>0</v>
      </c>
      <c r="W35" s="770" t="s">
        <v>26</v>
      </c>
      <c r="X35" s="770">
        <f>SUMIF(D27:D46,"유",F27:F46)</f>
        <v>0</v>
      </c>
      <c r="Y35" s="771">
        <f>SUMIF(I27:I46,"유",K27:K46)</f>
        <v>0</v>
      </c>
      <c r="Z35" s="770">
        <f>COUNTIF(AJ27:AJ46,"유국")+COUNTIF(AJ27:AJ46,"유공")</f>
        <v>0</v>
      </c>
      <c r="AA35" s="771">
        <f>COUNTIF(AK27:AK46,"유국")+COUNTIF(AK27:AK46,"유공")</f>
        <v>0</v>
      </c>
      <c r="AB35" s="770" t="s">
        <v>26</v>
      </c>
      <c r="AC35" s="770">
        <f>SUMIF(AJ27:AJ46,"유국",F27:F46)+SUMIF(AJ27:AJ46,"유공",F27:F46)</f>
        <v>0</v>
      </c>
      <c r="AD35" s="771">
        <f>SUMIF(AK27:AK46,"유국",K27:K46)+SUMIF(AK27:AK46,"유공",K27:K46)</f>
        <v>0</v>
      </c>
      <c r="AE35" s="770">
        <f t="shared" si="7"/>
        <v>0</v>
      </c>
      <c r="AF35" s="771">
        <f t="shared" si="8"/>
        <v>0</v>
      </c>
      <c r="AG35" s="770" t="s">
        <v>26</v>
      </c>
      <c r="AH35" s="770">
        <f t="shared" si="9"/>
        <v>0</v>
      </c>
      <c r="AI35" s="771">
        <f t="shared" si="10"/>
        <v>0</v>
      </c>
      <c r="AJ35" s="770" t="str">
        <f t="shared" si="11"/>
        <v>도박재성</v>
      </c>
      <c r="AK35" s="770" t="str">
        <f t="shared" si="5"/>
        <v>도공</v>
      </c>
      <c r="AL35" s="772"/>
      <c r="AM35" s="772"/>
    </row>
    <row r="36" spans="1:39" s="773" customFormat="1" ht="24" customHeight="1" x14ac:dyDescent="0.15">
      <c r="A36" s="774">
        <v>30</v>
      </c>
      <c r="B36" s="775" t="s">
        <v>232</v>
      </c>
      <c r="C36" s="1016" t="s">
        <v>297</v>
      </c>
      <c r="D36" s="1016" t="s">
        <v>154</v>
      </c>
      <c r="E36" s="1033">
        <v>14</v>
      </c>
      <c r="F36" s="1033">
        <v>14</v>
      </c>
      <c r="G36" s="779"/>
      <c r="H36" s="1025" t="s">
        <v>297</v>
      </c>
      <c r="I36" s="1025" t="s">
        <v>154</v>
      </c>
      <c r="J36" s="1036">
        <v>14</v>
      </c>
      <c r="K36" s="1036">
        <v>14</v>
      </c>
      <c r="L36" s="1016" t="s">
        <v>290</v>
      </c>
      <c r="M36" s="1016" t="s">
        <v>291</v>
      </c>
      <c r="N36" s="1025" t="s">
        <v>660</v>
      </c>
      <c r="O36" s="1025" t="s">
        <v>663</v>
      </c>
      <c r="P36" s="809"/>
      <c r="Q36" s="809"/>
      <c r="R36" s="809"/>
      <c r="S36" s="785"/>
      <c r="T36" s="770" t="s">
        <v>47</v>
      </c>
      <c r="U36" s="770">
        <f>COUNTIF(D27:D46,"과")</f>
        <v>0</v>
      </c>
      <c r="V36" s="771">
        <f>COUNTIF(I27:I46,"과")</f>
        <v>0</v>
      </c>
      <c r="W36" s="770" t="s">
        <v>26</v>
      </c>
      <c r="X36" s="770">
        <f>SUMIF(D27:D46,"과",F27:F46)</f>
        <v>0</v>
      </c>
      <c r="Y36" s="771">
        <f>SUMIF(I27:I46,"과",K27:K46)</f>
        <v>0</v>
      </c>
      <c r="Z36" s="770">
        <f>COUNTIF(AJ27:AJ46,"과국")+COUNTIF(AJ27:AJ46,"과공")</f>
        <v>0</v>
      </c>
      <c r="AA36" s="771">
        <f>COUNTIF(AK27:AK46,"과국")+COUNTIF(AK27:AK46,"과공")</f>
        <v>0</v>
      </c>
      <c r="AB36" s="770" t="s">
        <v>26</v>
      </c>
      <c r="AC36" s="770">
        <f>SUMIF(AJ27:AJ46,"과국",F27:F46)+SUMIF(AJ27:AJ46,"과공",F27:F46)</f>
        <v>0</v>
      </c>
      <c r="AD36" s="771">
        <f>SUMIF(AK27:AK46,"과국",K27:K46)+SUMIF(AK27:AK46,"과공",K27:K46)</f>
        <v>0</v>
      </c>
      <c r="AE36" s="770">
        <f t="shared" si="7"/>
        <v>0</v>
      </c>
      <c r="AF36" s="771">
        <f t="shared" si="8"/>
        <v>0</v>
      </c>
      <c r="AG36" s="770" t="s">
        <v>26</v>
      </c>
      <c r="AH36" s="770">
        <f t="shared" si="9"/>
        <v>0</v>
      </c>
      <c r="AI36" s="771">
        <f t="shared" si="10"/>
        <v>0</v>
      </c>
      <c r="AJ36" s="770" t="str">
        <f t="shared" si="11"/>
        <v>도박재성</v>
      </c>
      <c r="AK36" s="770" t="str">
        <f t="shared" si="5"/>
        <v>도공</v>
      </c>
      <c r="AL36" s="772"/>
      <c r="AM36" s="772"/>
    </row>
    <row r="37" spans="1:39" s="773" customFormat="1" ht="24" customHeight="1" x14ac:dyDescent="0.15">
      <c r="A37" s="774">
        <v>31</v>
      </c>
      <c r="B37" s="775" t="s">
        <v>232</v>
      </c>
      <c r="C37" s="1016" t="s">
        <v>299</v>
      </c>
      <c r="D37" s="1016" t="s">
        <v>298</v>
      </c>
      <c r="E37" s="1033">
        <v>648</v>
      </c>
      <c r="F37" s="1033">
        <v>648</v>
      </c>
      <c r="G37" s="779"/>
      <c r="H37" s="1025" t="s">
        <v>299</v>
      </c>
      <c r="I37" s="1025" t="s">
        <v>298</v>
      </c>
      <c r="J37" s="1036">
        <v>648</v>
      </c>
      <c r="K37" s="1036">
        <v>648</v>
      </c>
      <c r="L37" s="1016" t="s">
        <v>290</v>
      </c>
      <c r="M37" s="1016" t="s">
        <v>291</v>
      </c>
      <c r="N37" s="1025" t="s">
        <v>660</v>
      </c>
      <c r="O37" s="1025" t="s">
        <v>663</v>
      </c>
      <c r="P37" s="784"/>
      <c r="Q37" s="784"/>
      <c r="R37" s="784"/>
      <c r="S37" s="785"/>
      <c r="T37" s="770" t="s">
        <v>36</v>
      </c>
      <c r="U37" s="770">
        <f>COUNTIF(D27:D46,"묘")</f>
        <v>0</v>
      </c>
      <c r="V37" s="771">
        <f>COUNTIF(I27:I46,"묘")</f>
        <v>0</v>
      </c>
      <c r="W37" s="770" t="s">
        <v>26</v>
      </c>
      <c r="X37" s="770">
        <f>SUMIF(D27:D46,"묘",F27:F46)</f>
        <v>0</v>
      </c>
      <c r="Y37" s="771">
        <f>SUMIF(I27:I46,"묘",K27:K46)</f>
        <v>0</v>
      </c>
      <c r="Z37" s="770">
        <f>COUNTIF(AJ27:AJ46,"묘국")+COUNTIF(AJ27:AJ46,"묘공")</f>
        <v>0</v>
      </c>
      <c r="AA37" s="771">
        <f>COUNTIF(AK27:AK46,"묘국")+COUNTIF(AK27:AK46,"묘공")</f>
        <v>0</v>
      </c>
      <c r="AB37" s="770" t="s">
        <v>26</v>
      </c>
      <c r="AC37" s="770">
        <f>SUMIF(AJ27:AJ46,"묘국",F27:F46)+SUMIF(AJ27:AJ46,"묘공",F27:F46)</f>
        <v>0</v>
      </c>
      <c r="AD37" s="771">
        <f>SUMIF(AK27:AK46,"묘국",K27:K46)+SUMIF(AK27:AK46,"묘공",K27:K46)</f>
        <v>0</v>
      </c>
      <c r="AE37" s="770">
        <f t="shared" si="7"/>
        <v>0</v>
      </c>
      <c r="AF37" s="771">
        <f t="shared" si="8"/>
        <v>0</v>
      </c>
      <c r="AG37" s="770" t="s">
        <v>26</v>
      </c>
      <c r="AH37" s="770">
        <f t="shared" si="9"/>
        <v>0</v>
      </c>
      <c r="AI37" s="771">
        <f t="shared" si="10"/>
        <v>0</v>
      </c>
      <c r="AJ37" s="770" t="str">
        <f t="shared" si="11"/>
        <v>임박재성</v>
      </c>
      <c r="AK37" s="770" t="str">
        <f t="shared" si="5"/>
        <v>임공</v>
      </c>
      <c r="AL37" s="772"/>
      <c r="AM37" s="772"/>
    </row>
    <row r="38" spans="1:39" s="773" customFormat="1" ht="24" customHeight="1" x14ac:dyDescent="0.15">
      <c r="A38" s="774">
        <v>32</v>
      </c>
      <c r="B38" s="775" t="s">
        <v>232</v>
      </c>
      <c r="C38" s="1016" t="s">
        <v>300</v>
      </c>
      <c r="D38" s="1016" t="s">
        <v>156</v>
      </c>
      <c r="E38" s="1033">
        <v>20</v>
      </c>
      <c r="F38" s="1033">
        <v>20</v>
      </c>
      <c r="G38" s="779"/>
      <c r="H38" s="1025" t="s">
        <v>300</v>
      </c>
      <c r="I38" s="1025" t="s">
        <v>156</v>
      </c>
      <c r="J38" s="1036">
        <v>20</v>
      </c>
      <c r="K38" s="1036">
        <v>20</v>
      </c>
      <c r="L38" s="1016" t="s">
        <v>234</v>
      </c>
      <c r="M38" s="1016" t="s">
        <v>235</v>
      </c>
      <c r="N38" s="1025" t="s">
        <v>660</v>
      </c>
      <c r="O38" s="1025" t="s">
        <v>663</v>
      </c>
      <c r="P38" s="784"/>
      <c r="Q38" s="784"/>
      <c r="R38" s="784"/>
      <c r="S38" s="785"/>
      <c r="T38" s="770" t="s">
        <v>39</v>
      </c>
      <c r="U38" s="770">
        <f>COUNTIF(D27:D46,"수")</f>
        <v>0</v>
      </c>
      <c r="V38" s="771">
        <f>COUNTIF(I27:I46,"수")</f>
        <v>0</v>
      </c>
      <c r="W38" s="770" t="s">
        <v>26</v>
      </c>
      <c r="X38" s="770">
        <f>SUMIF(D27:D46,"수",F27:F46)</f>
        <v>0</v>
      </c>
      <c r="Y38" s="771">
        <f>SUMIF(I27:I46,"수",K27:K46)</f>
        <v>0</v>
      </c>
      <c r="Z38" s="770">
        <f>COUNTIF(AJ27:AJ46,"수국")+COUNTIF(AJ27:AJ46,"수공")</f>
        <v>0</v>
      </c>
      <c r="AA38" s="771">
        <f>COUNTIF(AK27:AK46,"수국")+COUNTIF(AK27:AK46,"수공")</f>
        <v>0</v>
      </c>
      <c r="AB38" s="770" t="s">
        <v>26</v>
      </c>
      <c r="AC38" s="770">
        <f>SUMIF(AJ27:AJ46,"수국",F27:F46)+SUMIF(AJ27:AJ46,"수공",F27:F46)</f>
        <v>0</v>
      </c>
      <c r="AD38" s="771">
        <f>SUMIF(AK27:AK46,"수국",K27:K46)+SUMIF(AK27:AK46,"수공",K27:K46)</f>
        <v>0</v>
      </c>
      <c r="AE38" s="770">
        <f t="shared" si="7"/>
        <v>0</v>
      </c>
      <c r="AF38" s="771">
        <f t="shared" si="8"/>
        <v>0</v>
      </c>
      <c r="AG38" s="770" t="s">
        <v>26</v>
      </c>
      <c r="AH38" s="770">
        <f t="shared" si="9"/>
        <v>0</v>
      </c>
      <c r="AI38" s="771">
        <f t="shared" si="10"/>
        <v>0</v>
      </c>
      <c r="AJ38" s="770" t="str">
        <f t="shared" si="11"/>
        <v>대김효종</v>
      </c>
      <c r="AK38" s="770" t="str">
        <f t="shared" si="5"/>
        <v>대공</v>
      </c>
      <c r="AL38" s="772"/>
      <c r="AM38" s="772"/>
    </row>
    <row r="39" spans="1:39" s="773" customFormat="1" ht="24" customHeight="1" x14ac:dyDescent="0.15">
      <c r="A39" s="774">
        <v>33</v>
      </c>
      <c r="B39" s="775" t="s">
        <v>232</v>
      </c>
      <c r="C39" s="1016" t="s">
        <v>301</v>
      </c>
      <c r="D39" s="1016" t="s">
        <v>298</v>
      </c>
      <c r="E39" s="1033">
        <v>143</v>
      </c>
      <c r="F39" s="1033">
        <v>143</v>
      </c>
      <c r="G39" s="779"/>
      <c r="H39" s="1025" t="s">
        <v>301</v>
      </c>
      <c r="I39" s="1025" t="s">
        <v>298</v>
      </c>
      <c r="J39" s="1036">
        <v>143</v>
      </c>
      <c r="K39" s="1036">
        <v>143</v>
      </c>
      <c r="L39" s="1016" t="s">
        <v>305</v>
      </c>
      <c r="M39" s="1016" t="s">
        <v>306</v>
      </c>
      <c r="N39" s="1025" t="s">
        <v>660</v>
      </c>
      <c r="O39" s="1025" t="s">
        <v>663</v>
      </c>
      <c r="P39" s="784"/>
      <c r="Q39" s="784"/>
      <c r="R39" s="784"/>
      <c r="S39" s="785"/>
      <c r="T39" s="770" t="s">
        <v>35</v>
      </c>
      <c r="U39" s="770">
        <f>COUNTIF(D27:D46,"잡")</f>
        <v>0</v>
      </c>
      <c r="V39" s="771">
        <f>COUNTIF(I27:I46,"잡")</f>
        <v>0</v>
      </c>
      <c r="W39" s="770" t="s">
        <v>26</v>
      </c>
      <c r="X39" s="770">
        <f>SUMIF(D27:D46,"잡",F27:F46)</f>
        <v>0</v>
      </c>
      <c r="Y39" s="771">
        <f>SUMIF(I27:I46,"잡",K27:K46)</f>
        <v>0</v>
      </c>
      <c r="Z39" s="770">
        <f>COUNTIF(AJ27:AJ46,"잡국")+COUNTIF(AJ27:AJ46,"잡공")</f>
        <v>0</v>
      </c>
      <c r="AA39" s="771">
        <f>COUNTIF(AK27:AK46,"잡국")+COUNTIF(AK27:AK46,"잡공")</f>
        <v>0</v>
      </c>
      <c r="AB39" s="770" t="s">
        <v>26</v>
      </c>
      <c r="AC39" s="770">
        <f>SUMIF(AJ27:AJ46,"잡국",F27:F46)+SUMIF(AJ27:AJ46,"잡공",F27:F46)</f>
        <v>0</v>
      </c>
      <c r="AD39" s="771">
        <f>SUMIF(AK27:AK46,"잡국",K27:K46)+SUMIF(AK27:AK46,"잡공",K27:K46)</f>
        <v>0</v>
      </c>
      <c r="AE39" s="770">
        <f t="shared" si="7"/>
        <v>0</v>
      </c>
      <c r="AF39" s="771">
        <f t="shared" si="8"/>
        <v>0</v>
      </c>
      <c r="AG39" s="770" t="s">
        <v>26</v>
      </c>
      <c r="AH39" s="770">
        <f t="shared" si="9"/>
        <v>0</v>
      </c>
      <c r="AI39" s="771">
        <f t="shared" si="10"/>
        <v>0</v>
      </c>
      <c r="AJ39" s="770" t="str">
        <f t="shared" si="11"/>
        <v>임송기임</v>
      </c>
      <c r="AK39" s="770" t="str">
        <f t="shared" si="5"/>
        <v>임공</v>
      </c>
      <c r="AL39" s="772"/>
      <c r="AM39" s="772"/>
    </row>
    <row r="40" spans="1:39" s="773" customFormat="1" ht="24" customHeight="1" x14ac:dyDescent="0.15">
      <c r="A40" s="818">
        <v>34</v>
      </c>
      <c r="B40" s="775" t="s">
        <v>232</v>
      </c>
      <c r="C40" s="1016" t="s">
        <v>302</v>
      </c>
      <c r="D40" s="1016" t="s">
        <v>154</v>
      </c>
      <c r="E40" s="1033">
        <v>85</v>
      </c>
      <c r="F40" s="1033">
        <v>85</v>
      </c>
      <c r="G40" s="779"/>
      <c r="H40" s="1025" t="s">
        <v>302</v>
      </c>
      <c r="I40" s="1025" t="s">
        <v>154</v>
      </c>
      <c r="J40" s="1036">
        <v>85</v>
      </c>
      <c r="K40" s="1036">
        <v>85</v>
      </c>
      <c r="L40" s="1016" t="s">
        <v>155</v>
      </c>
      <c r="M40" s="1016" t="s">
        <v>188</v>
      </c>
      <c r="N40" s="1025" t="s">
        <v>155</v>
      </c>
      <c r="O40" s="1025" t="s">
        <v>188</v>
      </c>
      <c r="P40" s="784"/>
      <c r="Q40" s="784"/>
      <c r="R40" s="784"/>
      <c r="S40" s="785"/>
      <c r="T40" s="770" t="s">
        <v>51</v>
      </c>
      <c r="U40" s="770">
        <f>COUNTIF(D27:D46,"체")</f>
        <v>0</v>
      </c>
      <c r="V40" s="771">
        <f>COUNTIF(I27:I46,"체")</f>
        <v>0</v>
      </c>
      <c r="W40" s="770" t="s">
        <v>26</v>
      </c>
      <c r="X40" s="770">
        <f>SUMIF(D27:D46,"체",F27:F46)</f>
        <v>0</v>
      </c>
      <c r="Y40" s="771">
        <f>SUMIF(I27:I46,"체",K27:K46)</f>
        <v>0</v>
      </c>
      <c r="Z40" s="770">
        <f>COUNTIF(AJ27:AJ46,"체국")+COUNTIF(AJ27:AJ46,"체공")</f>
        <v>0</v>
      </c>
      <c r="AA40" s="771">
        <f>COUNTIF(AK27:AK46,"체국")+COUNTIF(AK27:AK46,"체공")</f>
        <v>0</v>
      </c>
      <c r="AB40" s="770" t="s">
        <v>26</v>
      </c>
      <c r="AC40" s="770">
        <f>SUMIF(AJ27:AJ46,"체국",F27:F46)+SUMIF(AJ27:AJ46,"체공",F27:F46)</f>
        <v>0</v>
      </c>
      <c r="AD40" s="771">
        <f>SUMIF(AK27:AK46,"체국",K27:K46)+SUMIF(AK27:AK46,"체공",K27:K46)</f>
        <v>0</v>
      </c>
      <c r="AE40" s="770">
        <f t="shared" si="7"/>
        <v>0</v>
      </c>
      <c r="AF40" s="771">
        <f t="shared" si="8"/>
        <v>0</v>
      </c>
      <c r="AG40" s="770" t="s">
        <v>26</v>
      </c>
      <c r="AH40" s="770">
        <f t="shared" si="9"/>
        <v>0</v>
      </c>
      <c r="AI40" s="771">
        <f t="shared" si="10"/>
        <v>0</v>
      </c>
      <c r="AJ40" s="770" t="str">
        <f t="shared" si="11"/>
        <v>도국</v>
      </c>
      <c r="AK40" s="770" t="str">
        <f t="shared" si="5"/>
        <v>도국</v>
      </c>
      <c r="AL40" s="772"/>
      <c r="AM40" s="772"/>
    </row>
    <row r="41" spans="1:39" s="773" customFormat="1" ht="24" customHeight="1" x14ac:dyDescent="0.15">
      <c r="A41" s="818">
        <v>35</v>
      </c>
      <c r="B41" s="775" t="s">
        <v>232</v>
      </c>
      <c r="C41" s="1016" t="s">
        <v>303</v>
      </c>
      <c r="D41" s="1016" t="s">
        <v>298</v>
      </c>
      <c r="E41" s="1033">
        <v>6</v>
      </c>
      <c r="F41" s="1033">
        <v>6</v>
      </c>
      <c r="G41" s="779"/>
      <c r="H41" s="1025" t="s">
        <v>303</v>
      </c>
      <c r="I41" s="1025" t="s">
        <v>298</v>
      </c>
      <c r="J41" s="1036">
        <v>6</v>
      </c>
      <c r="K41" s="1036">
        <v>6</v>
      </c>
      <c r="L41" s="1016" t="s">
        <v>305</v>
      </c>
      <c r="M41" s="1016" t="s">
        <v>306</v>
      </c>
      <c r="N41" s="1025" t="s">
        <v>660</v>
      </c>
      <c r="O41" s="1025" t="s">
        <v>663</v>
      </c>
      <c r="P41" s="784"/>
      <c r="Q41" s="784"/>
      <c r="R41" s="784"/>
      <c r="S41" s="785"/>
      <c r="T41" s="770" t="s">
        <v>50</v>
      </c>
      <c r="U41" s="770">
        <f>COUNTIF(D27:D46,"공")</f>
        <v>0</v>
      </c>
      <c r="V41" s="771">
        <f>COUNTIF(I27:I46,"공")</f>
        <v>0</v>
      </c>
      <c r="W41" s="770" t="s">
        <v>26</v>
      </c>
      <c r="X41" s="770">
        <f>SUMIF(D27:D46,"공",F27:F46)</f>
        <v>0</v>
      </c>
      <c r="Y41" s="771">
        <f>SUMIF(I27:I46,"공",K27:K46)</f>
        <v>0</v>
      </c>
      <c r="Z41" s="770">
        <f>COUNTIF(AJ27:AJ46,"공국")+COUNTIF(AJ27:AJ46,"공공")</f>
        <v>0</v>
      </c>
      <c r="AA41" s="771">
        <f>COUNTIF(AK27:AK46,"공국")+COUNTIF(AK27:AK46,"공공")</f>
        <v>0</v>
      </c>
      <c r="AB41" s="770" t="s">
        <v>26</v>
      </c>
      <c r="AC41" s="770">
        <f>SUMIF(AJ27:AJ46,"공국",F27:F46)+SUMIF(AJ27:AJ46,"공공",F27:F46)</f>
        <v>0</v>
      </c>
      <c r="AD41" s="771">
        <f>SUMIF(AK27:AK46,"공국",K27:K46)+SUMIF(AK27:AK46,"공공",K27:K46)</f>
        <v>0</v>
      </c>
      <c r="AE41" s="770">
        <f t="shared" si="7"/>
        <v>0</v>
      </c>
      <c r="AF41" s="771">
        <f t="shared" si="8"/>
        <v>0</v>
      </c>
      <c r="AG41" s="770" t="s">
        <v>26</v>
      </c>
      <c r="AH41" s="770">
        <f t="shared" si="9"/>
        <v>0</v>
      </c>
      <c r="AI41" s="771">
        <f t="shared" si="10"/>
        <v>0</v>
      </c>
      <c r="AJ41" s="770" t="str">
        <f t="shared" si="11"/>
        <v>임송기임</v>
      </c>
      <c r="AK41" s="770" t="str">
        <f t="shared" si="5"/>
        <v>임공</v>
      </c>
      <c r="AL41" s="772"/>
      <c r="AM41" s="772"/>
    </row>
    <row r="42" spans="1:39" s="773" customFormat="1" ht="24" customHeight="1" x14ac:dyDescent="0.15">
      <c r="A42" s="818">
        <v>36</v>
      </c>
      <c r="B42" s="775" t="s">
        <v>232</v>
      </c>
      <c r="C42" s="1017">
        <v>343</v>
      </c>
      <c r="D42" s="1016" t="s">
        <v>27</v>
      </c>
      <c r="E42" s="1033">
        <v>30</v>
      </c>
      <c r="F42" s="1033">
        <v>30</v>
      </c>
      <c r="G42" s="779"/>
      <c r="H42" s="1028">
        <v>343</v>
      </c>
      <c r="I42" s="1025" t="s">
        <v>27</v>
      </c>
      <c r="J42" s="1036">
        <v>30</v>
      </c>
      <c r="K42" s="1036">
        <v>30</v>
      </c>
      <c r="L42" s="1016" t="s">
        <v>307</v>
      </c>
      <c r="M42" s="1016" t="s">
        <v>238</v>
      </c>
      <c r="N42" s="1025" t="s">
        <v>660</v>
      </c>
      <c r="O42" s="1025" t="s">
        <v>663</v>
      </c>
      <c r="P42" s="784"/>
      <c r="Q42" s="784"/>
      <c r="R42" s="784"/>
      <c r="S42" s="785"/>
      <c r="T42" s="791" t="s">
        <v>40</v>
      </c>
      <c r="U42" s="770">
        <f>COUNTIF(D27:D46,"장")</f>
        <v>0</v>
      </c>
      <c r="V42" s="771">
        <f>COUNTIF(I27:I46,"장")</f>
        <v>0</v>
      </c>
      <c r="W42" s="770" t="s">
        <v>26</v>
      </c>
      <c r="X42" s="770">
        <f>SUMIF(D27:D46,"장",F27:F46)</f>
        <v>0</v>
      </c>
      <c r="Y42" s="771">
        <f>SUMIF(I27:I46,"장",K27:K46)</f>
        <v>0</v>
      </c>
      <c r="Z42" s="770">
        <f>COUNTIF(AJ27:AJ46,"장국")+COUNTIF(AJ27:AJ46,"장공")</f>
        <v>0</v>
      </c>
      <c r="AA42" s="771">
        <f>COUNTIF(AK27:AK46,"장국")+COUNTIF(AK27:AK46,"장공")</f>
        <v>0</v>
      </c>
      <c r="AB42" s="770" t="s">
        <v>26</v>
      </c>
      <c r="AC42" s="770">
        <f>SUMIF(AJ27:AJ46,"장국",F27:F46)+SUMIF(AJ27:AJ46,"장공",F27:F46)</f>
        <v>0</v>
      </c>
      <c r="AD42" s="771">
        <f>SUMIF(AK27:AK46,"장국",K27:K46)+SUMIF(AK27:AK46,"장공",K27:K46)</f>
        <v>0</v>
      </c>
      <c r="AE42" s="770">
        <f t="shared" si="7"/>
        <v>0</v>
      </c>
      <c r="AF42" s="771">
        <f t="shared" si="8"/>
        <v>0</v>
      </c>
      <c r="AG42" s="770" t="s">
        <v>26</v>
      </c>
      <c r="AH42" s="770">
        <f t="shared" si="9"/>
        <v>0</v>
      </c>
      <c r="AI42" s="771">
        <f t="shared" si="10"/>
        <v>0</v>
      </c>
      <c r="AJ42" s="770" t="str">
        <f t="shared" si="11"/>
        <v>전고인선</v>
      </c>
      <c r="AK42" s="770" t="str">
        <f>CONCATENATE(I42,N42)</f>
        <v>전공</v>
      </c>
      <c r="AL42" s="772"/>
      <c r="AM42" s="772"/>
    </row>
    <row r="43" spans="1:39" s="773" customFormat="1" ht="24" customHeight="1" x14ac:dyDescent="0.15">
      <c r="A43" s="818">
        <v>37</v>
      </c>
      <c r="B43" s="775" t="s">
        <v>232</v>
      </c>
      <c r="C43" s="1017">
        <v>344</v>
      </c>
      <c r="D43" s="1016" t="s">
        <v>27</v>
      </c>
      <c r="E43" s="1033">
        <v>176</v>
      </c>
      <c r="F43" s="1033">
        <v>176</v>
      </c>
      <c r="G43" s="779"/>
      <c r="H43" s="1028">
        <v>344</v>
      </c>
      <c r="I43" s="1025" t="s">
        <v>27</v>
      </c>
      <c r="J43" s="1036">
        <v>176</v>
      </c>
      <c r="K43" s="1036">
        <v>176</v>
      </c>
      <c r="L43" s="1016" t="s">
        <v>259</v>
      </c>
      <c r="M43" s="1016" t="s">
        <v>356</v>
      </c>
      <c r="N43" s="1025" t="s">
        <v>660</v>
      </c>
      <c r="O43" s="1025" t="s">
        <v>663</v>
      </c>
      <c r="P43" s="784"/>
      <c r="Q43" s="784"/>
      <c r="R43" s="784"/>
      <c r="S43" s="785"/>
      <c r="T43" s="791" t="s">
        <v>79</v>
      </c>
      <c r="U43" s="770">
        <f>COUNTIF(D27:D46,"목")</f>
        <v>0</v>
      </c>
      <c r="V43" s="771">
        <f>COUNTIF(I27:I46,"목")</f>
        <v>0</v>
      </c>
      <c r="W43" s="770" t="s">
        <v>26</v>
      </c>
      <c r="X43" s="770">
        <f>SUMIF(D27:D46,"목",F27:F46)</f>
        <v>0</v>
      </c>
      <c r="Y43" s="771">
        <f>SUMIF(I27:I46,"목",K27:K46)</f>
        <v>0</v>
      </c>
      <c r="Z43" s="770">
        <f>COUNTIF(AJ27:AJ46,"목국")+COUNTIF(AJ27:AJ46,"목공")</f>
        <v>0</v>
      </c>
      <c r="AA43" s="771">
        <f>COUNTIF(AK27:AK46,"목국")+COUNTIF(AK27:AK46,"목공")</f>
        <v>0</v>
      </c>
      <c r="AB43" s="770" t="s">
        <v>26</v>
      </c>
      <c r="AC43" s="770">
        <f>SUMIF(AJ27:AJ46,"목국",F27:F46)+SUMIF(AJ27:AJ46,"목공",F27:F46)</f>
        <v>0</v>
      </c>
      <c r="AD43" s="771">
        <f>SUMIF(AK27:AK46,"목국",K27:K46)+SUMIF(AK27:AK46,"목공",K27:K46)</f>
        <v>0</v>
      </c>
      <c r="AE43" s="770">
        <f t="shared" si="7"/>
        <v>0</v>
      </c>
      <c r="AF43" s="771">
        <f t="shared" si="8"/>
        <v>0</v>
      </c>
      <c r="AG43" s="770" t="s">
        <v>26</v>
      </c>
      <c r="AH43" s="770">
        <f t="shared" si="9"/>
        <v>0</v>
      </c>
      <c r="AI43" s="771">
        <f t="shared" si="10"/>
        <v>0</v>
      </c>
      <c r="AJ43" s="770" t="str">
        <f t="shared" si="11"/>
        <v>전이상익</v>
      </c>
      <c r="AK43" s="770" t="str">
        <f>CONCATENATE(I43,N43)</f>
        <v>전공</v>
      </c>
      <c r="AL43" s="772"/>
      <c r="AM43" s="772"/>
    </row>
    <row r="44" spans="1:39" s="773" customFormat="1" ht="24" customHeight="1" x14ac:dyDescent="0.15">
      <c r="A44" s="818">
        <v>38</v>
      </c>
      <c r="B44" s="775" t="s">
        <v>232</v>
      </c>
      <c r="C44" s="1016" t="s">
        <v>304</v>
      </c>
      <c r="D44" s="1016" t="s">
        <v>298</v>
      </c>
      <c r="E44" s="1033">
        <v>734</v>
      </c>
      <c r="F44" s="1033">
        <v>734</v>
      </c>
      <c r="G44" s="779"/>
      <c r="H44" s="1025" t="s">
        <v>304</v>
      </c>
      <c r="I44" s="1025" t="s">
        <v>298</v>
      </c>
      <c r="J44" s="1036">
        <v>734</v>
      </c>
      <c r="K44" s="1036">
        <v>734</v>
      </c>
      <c r="L44" s="1016" t="s">
        <v>305</v>
      </c>
      <c r="M44" s="1016" t="s">
        <v>306</v>
      </c>
      <c r="N44" s="1025" t="s">
        <v>660</v>
      </c>
      <c r="O44" s="1025" t="s">
        <v>663</v>
      </c>
      <c r="P44" s="1116"/>
      <c r="Q44" s="784"/>
      <c r="R44" s="784"/>
      <c r="S44" s="785"/>
      <c r="T44" s="791"/>
      <c r="U44" s="791"/>
      <c r="V44" s="792"/>
      <c r="W44" s="791"/>
      <c r="X44" s="791"/>
      <c r="Y44" s="792"/>
      <c r="Z44" s="770"/>
      <c r="AA44" s="771"/>
      <c r="AB44" s="791"/>
      <c r="AC44" s="770"/>
      <c r="AD44" s="771"/>
      <c r="AE44" s="791"/>
      <c r="AF44" s="792"/>
      <c r="AG44" s="791"/>
      <c r="AH44" s="791"/>
      <c r="AI44" s="792"/>
      <c r="AJ44" s="770" t="str">
        <f t="shared" si="11"/>
        <v>임송기임</v>
      </c>
      <c r="AK44" s="770" t="str">
        <f t="shared" si="5"/>
        <v>임공</v>
      </c>
      <c r="AL44" s="772"/>
      <c r="AM44" s="772"/>
    </row>
    <row r="45" spans="1:39" s="773" customFormat="1" ht="24" customHeight="1" x14ac:dyDescent="0.15">
      <c r="A45" s="818">
        <v>39</v>
      </c>
      <c r="B45" s="775" t="s">
        <v>232</v>
      </c>
      <c r="C45" s="1016" t="s">
        <v>308</v>
      </c>
      <c r="D45" s="1016" t="s">
        <v>298</v>
      </c>
      <c r="E45" s="1033">
        <v>622</v>
      </c>
      <c r="F45" s="1033">
        <v>622</v>
      </c>
      <c r="G45" s="779"/>
      <c r="H45" s="1025" t="s">
        <v>308</v>
      </c>
      <c r="I45" s="1025" t="s">
        <v>298</v>
      </c>
      <c r="J45" s="1036">
        <v>622</v>
      </c>
      <c r="K45" s="1036">
        <v>622</v>
      </c>
      <c r="L45" s="1016" t="s">
        <v>318</v>
      </c>
      <c r="M45" s="1016" t="s">
        <v>319</v>
      </c>
      <c r="N45" s="1025" t="s">
        <v>660</v>
      </c>
      <c r="O45" s="1025" t="s">
        <v>663</v>
      </c>
      <c r="P45" s="825"/>
      <c r="Q45" s="825"/>
      <c r="R45" s="825"/>
      <c r="S45" s="785"/>
      <c r="T45" s="791"/>
      <c r="U45" s="791"/>
      <c r="V45" s="792"/>
      <c r="W45" s="791"/>
      <c r="X45" s="791"/>
      <c r="Y45" s="792"/>
      <c r="Z45" s="770"/>
      <c r="AA45" s="771"/>
      <c r="AB45" s="791"/>
      <c r="AC45" s="770"/>
      <c r="AD45" s="771"/>
      <c r="AE45" s="791"/>
      <c r="AF45" s="792"/>
      <c r="AG45" s="791"/>
      <c r="AH45" s="791"/>
      <c r="AI45" s="792"/>
      <c r="AJ45" s="770" t="str">
        <f t="shared" si="11"/>
        <v>임이상우</v>
      </c>
      <c r="AK45" s="770" t="str">
        <f t="shared" si="5"/>
        <v>임공</v>
      </c>
      <c r="AL45" s="772"/>
      <c r="AM45" s="772"/>
    </row>
    <row r="46" spans="1:39" s="773" customFormat="1" ht="24" customHeight="1" x14ac:dyDescent="0.15">
      <c r="A46" s="818">
        <v>40</v>
      </c>
      <c r="B46" s="775" t="s">
        <v>232</v>
      </c>
      <c r="C46" s="1016" t="s">
        <v>309</v>
      </c>
      <c r="D46" s="1016" t="s">
        <v>156</v>
      </c>
      <c r="E46" s="1033">
        <v>40</v>
      </c>
      <c r="F46" s="1033">
        <v>40</v>
      </c>
      <c r="G46" s="779"/>
      <c r="H46" s="1025" t="s">
        <v>309</v>
      </c>
      <c r="I46" s="1025" t="s">
        <v>156</v>
      </c>
      <c r="J46" s="1036">
        <v>40</v>
      </c>
      <c r="K46" s="1036">
        <v>40</v>
      </c>
      <c r="L46" s="1016" t="s">
        <v>320</v>
      </c>
      <c r="M46" s="1016" t="s">
        <v>321</v>
      </c>
      <c r="N46" s="1025" t="s">
        <v>660</v>
      </c>
      <c r="O46" s="1025" t="s">
        <v>663</v>
      </c>
      <c r="P46" s="815"/>
      <c r="Q46" s="815"/>
      <c r="R46" s="815"/>
      <c r="S46" s="785"/>
      <c r="T46" s="794" t="s">
        <v>37</v>
      </c>
      <c r="U46" s="794">
        <f>COUNTIF(D27:D46,"철")</f>
        <v>0</v>
      </c>
      <c r="V46" s="795">
        <f>COUNTIF(I27:I46,"철")</f>
        <v>0</v>
      </c>
      <c r="W46" s="794" t="s">
        <v>26</v>
      </c>
      <c r="X46" s="794">
        <f>SUMIF(D27:D46,"철",F27:F46)</f>
        <v>0</v>
      </c>
      <c r="Y46" s="795">
        <f>SUMIF(I27:I46,"철",K27:K46)</f>
        <v>0</v>
      </c>
      <c r="Z46" s="770">
        <f>COUNTIF(AJ27:AJ46,"철국")+COUNTIF(AJ27:AJ46,"철공")</f>
        <v>0</v>
      </c>
      <c r="AA46" s="771">
        <f>COUNTIF(AK27:AK46,"철국")+COUNTIF(AK27:AK46,"철공")</f>
        <v>0</v>
      </c>
      <c r="AB46" s="794" t="s">
        <v>26</v>
      </c>
      <c r="AC46" s="770">
        <f>SUMIF(AJ27:AJ46,"철국",F27:F46)+SUMIF(AJ27:AJ46,"철공",F27:F46)</f>
        <v>0</v>
      </c>
      <c r="AD46" s="771">
        <f>SUMIF(AK27:AK46,"철국",K27:K46)+SUMIF(AK27:AK46,"철공",K27:K46)</f>
        <v>0</v>
      </c>
      <c r="AE46" s="794"/>
      <c r="AF46" s="795"/>
      <c r="AG46" s="794"/>
      <c r="AH46" s="794"/>
      <c r="AI46" s="795"/>
      <c r="AJ46" s="770" t="str">
        <f>CONCATENATE(D46,L46)</f>
        <v>대홍범준</v>
      </c>
      <c r="AK46" s="770" t="str">
        <f t="shared" si="5"/>
        <v>대공</v>
      </c>
      <c r="AL46" s="772"/>
      <c r="AM46" s="772"/>
    </row>
    <row r="47" spans="1:39" s="755" customFormat="1" ht="24" customHeight="1" thickBot="1" x14ac:dyDescent="0.2">
      <c r="A47" s="796" t="s">
        <v>48</v>
      </c>
      <c r="B47" s="797"/>
      <c r="C47" s="797"/>
      <c r="D47" s="797"/>
      <c r="E47" s="797"/>
      <c r="F47" s="798">
        <f>SUM(F27:F46)</f>
        <v>3675</v>
      </c>
      <c r="G47" s="799"/>
      <c r="H47" s="800"/>
      <c r="I47" s="801"/>
      <c r="J47" s="802"/>
      <c r="K47" s="1014">
        <f>SUM(K27:K46)</f>
        <v>3675</v>
      </c>
      <c r="L47" s="803"/>
      <c r="M47" s="803"/>
      <c r="N47" s="804"/>
      <c r="O47" s="804"/>
      <c r="P47" s="803"/>
      <c r="Q47" s="803"/>
      <c r="R47" s="803"/>
      <c r="S47" s="805"/>
      <c r="T47" s="806" t="s">
        <v>24</v>
      </c>
      <c r="U47" s="807">
        <f t="shared" ref="U47:AA47" si="12">SUM(U27:U46)</f>
        <v>20</v>
      </c>
      <c r="V47" s="807">
        <f t="shared" si="12"/>
        <v>20</v>
      </c>
      <c r="W47" s="807">
        <f t="shared" si="12"/>
        <v>0</v>
      </c>
      <c r="X47" s="807">
        <f t="shared" si="12"/>
        <v>3675</v>
      </c>
      <c r="Y47" s="807">
        <f t="shared" si="12"/>
        <v>3675</v>
      </c>
      <c r="Z47" s="822">
        <f t="shared" si="12"/>
        <v>1</v>
      </c>
      <c r="AA47" s="823">
        <f t="shared" si="12"/>
        <v>20</v>
      </c>
      <c r="AB47" s="822" t="s">
        <v>26</v>
      </c>
      <c r="AC47" s="822">
        <f>SUM(AC27:AC46)</f>
        <v>85</v>
      </c>
      <c r="AD47" s="823">
        <f>SUM(AD27:AD46)</f>
        <v>3675</v>
      </c>
      <c r="AE47" s="807">
        <f>SUM(AE27:AE46)</f>
        <v>19</v>
      </c>
      <c r="AF47" s="807">
        <f>SUM(AF27:AF46)</f>
        <v>0</v>
      </c>
      <c r="AG47" s="807" t="s">
        <v>26</v>
      </c>
      <c r="AH47" s="807">
        <f>SUM(AH27:AH46)</f>
        <v>3590</v>
      </c>
      <c r="AI47" s="807">
        <f>SUM(AI27:AI46)</f>
        <v>0</v>
      </c>
      <c r="AJ47" s="807"/>
      <c r="AK47" s="770" t="str">
        <f t="shared" si="5"/>
        <v/>
      </c>
    </row>
    <row r="48" spans="1:39" s="773" customFormat="1" ht="24.95" customHeight="1" x14ac:dyDescent="0.15">
      <c r="A48" s="824">
        <v>41</v>
      </c>
      <c r="B48" s="762" t="s">
        <v>213</v>
      </c>
      <c r="C48" s="1016" t="s">
        <v>310</v>
      </c>
      <c r="D48" s="1016" t="s">
        <v>27</v>
      </c>
      <c r="E48" s="1033">
        <v>153</v>
      </c>
      <c r="F48" s="1033">
        <v>153</v>
      </c>
      <c r="G48" s="779"/>
      <c r="H48" s="1025" t="s">
        <v>310</v>
      </c>
      <c r="I48" s="1025" t="s">
        <v>27</v>
      </c>
      <c r="J48" s="1036">
        <v>153</v>
      </c>
      <c r="K48" s="1036">
        <v>153</v>
      </c>
      <c r="L48" s="1016" t="s">
        <v>320</v>
      </c>
      <c r="M48" s="1016" t="s">
        <v>321</v>
      </c>
      <c r="N48" s="1025" t="s">
        <v>660</v>
      </c>
      <c r="O48" s="1025" t="s">
        <v>663</v>
      </c>
      <c r="P48" s="784"/>
      <c r="Q48" s="784"/>
      <c r="R48" s="784"/>
      <c r="S48" s="769"/>
      <c r="T48" s="770" t="s">
        <v>27</v>
      </c>
      <c r="U48" s="770">
        <f>COUNTIF(D48:D67,"전")</f>
        <v>8</v>
      </c>
      <c r="V48" s="771">
        <f>COUNTIF(I48:I67,"전")</f>
        <v>8</v>
      </c>
      <c r="W48" s="770" t="s">
        <v>26</v>
      </c>
      <c r="X48" s="770">
        <f>SUMIF(D48:D67,"전",F48:F67)</f>
        <v>1033</v>
      </c>
      <c r="Y48" s="771">
        <f>SUMIF(I48:I67,"전",K48:K67)</f>
        <v>1033</v>
      </c>
      <c r="Z48" s="770">
        <f>COUNTIF(AJ48:AJ67,"전국")+COUNTIF(AJ48:AJ67,"전공")</f>
        <v>1</v>
      </c>
      <c r="AA48" s="771">
        <f>COUNTIF(AK48:AK67,"전국")+COUNTIF(AK48:AK67,"전공")</f>
        <v>8</v>
      </c>
      <c r="AB48" s="770" t="s">
        <v>26</v>
      </c>
      <c r="AC48" s="770">
        <f>SUMIF(AJ48:AJ67,"전국",F48:F67)+SUMIF(AJ48:AJ67,"전공",F48:F67)</f>
        <v>18</v>
      </c>
      <c r="AD48" s="771">
        <f>SUMIF(AK48:AK67,"전국",K48:K67)+SUMIF(AK48:AK67,"전공",K48:K67)</f>
        <v>1033</v>
      </c>
      <c r="AE48" s="770">
        <f t="shared" ref="AE48:AE64" si="13">U48-Z48</f>
        <v>7</v>
      </c>
      <c r="AF48" s="771">
        <f t="shared" ref="AF48:AF64" si="14">V48-AA48</f>
        <v>0</v>
      </c>
      <c r="AG48" s="770" t="s">
        <v>26</v>
      </c>
      <c r="AH48" s="770">
        <f t="shared" ref="AH48:AH64" si="15">X48-AC48</f>
        <v>1015</v>
      </c>
      <c r="AI48" s="771">
        <f t="shared" ref="AI48:AI64" si="16">Y48-AD48</f>
        <v>0</v>
      </c>
      <c r="AJ48" s="770" t="str">
        <f t="shared" ref="AJ48:AJ67" si="17">CONCATENATE(D48,L48)</f>
        <v>전홍범준</v>
      </c>
      <c r="AK48" s="770" t="str">
        <f t="shared" si="5"/>
        <v>전공</v>
      </c>
    </row>
    <row r="49" spans="1:39" s="773" customFormat="1" ht="24.95" customHeight="1" x14ac:dyDescent="0.15">
      <c r="A49" s="818">
        <v>42</v>
      </c>
      <c r="B49" s="775" t="s">
        <v>232</v>
      </c>
      <c r="C49" s="1016" t="s">
        <v>311</v>
      </c>
      <c r="D49" s="1016" t="s">
        <v>27</v>
      </c>
      <c r="E49" s="1033">
        <v>16</v>
      </c>
      <c r="F49" s="1033">
        <v>16</v>
      </c>
      <c r="G49" s="779"/>
      <c r="H49" s="1025" t="s">
        <v>311</v>
      </c>
      <c r="I49" s="1025" t="s">
        <v>27</v>
      </c>
      <c r="J49" s="1036">
        <v>16</v>
      </c>
      <c r="K49" s="1036">
        <v>16</v>
      </c>
      <c r="L49" s="1016" t="s">
        <v>322</v>
      </c>
      <c r="M49" s="1016" t="s">
        <v>323</v>
      </c>
      <c r="N49" s="1025" t="s">
        <v>660</v>
      </c>
      <c r="O49" s="1025" t="s">
        <v>663</v>
      </c>
      <c r="P49" s="815"/>
      <c r="Q49" s="815"/>
      <c r="R49" s="815"/>
      <c r="S49" s="785"/>
      <c r="T49" s="770" t="s">
        <v>28</v>
      </c>
      <c r="U49" s="770">
        <f>COUNTIF(D48:D67,"답")</f>
        <v>0</v>
      </c>
      <c r="V49" s="771">
        <f>COUNTIF(I48:I67,"답")</f>
        <v>0</v>
      </c>
      <c r="W49" s="770" t="s">
        <v>26</v>
      </c>
      <c r="X49" s="770">
        <f>SUMIF(D48:D67,"답",F48:F67)</f>
        <v>0</v>
      </c>
      <c r="Y49" s="771">
        <f>SUMIF(I48:I67,"답",K48:K67)</f>
        <v>0</v>
      </c>
      <c r="Z49" s="770">
        <f>COUNTIF(AJ48:AJ67,"답국")+COUNTIF(AJ48:AJ67,"답공")</f>
        <v>0</v>
      </c>
      <c r="AA49" s="771">
        <f>COUNTIF(AK48:AK67,"답국")+COUNTIF(AK48:AK67,"답공")</f>
        <v>0</v>
      </c>
      <c r="AB49" s="770" t="s">
        <v>26</v>
      </c>
      <c r="AC49" s="770">
        <f>SUMIF(AJ48:AJ67,"답국",F48:F67)+SUMIF(AJ48:AJ67,"답공",F48:F67)</f>
        <v>0</v>
      </c>
      <c r="AD49" s="771">
        <f>SUMIF(AK48:AK67,"답국",K48:K67)+SUMIF(AK48:AK67,"답공",K48:K67)</f>
        <v>0</v>
      </c>
      <c r="AE49" s="770">
        <f t="shared" si="13"/>
        <v>0</v>
      </c>
      <c r="AF49" s="771">
        <f t="shared" si="14"/>
        <v>0</v>
      </c>
      <c r="AG49" s="770" t="s">
        <v>26</v>
      </c>
      <c r="AH49" s="770">
        <f t="shared" si="15"/>
        <v>0</v>
      </c>
      <c r="AI49" s="771">
        <f t="shared" si="16"/>
        <v>0</v>
      </c>
      <c r="AJ49" s="770" t="str">
        <f t="shared" si="17"/>
        <v>전최승완</v>
      </c>
      <c r="AK49" s="770" t="str">
        <f t="shared" si="5"/>
        <v>전공</v>
      </c>
    </row>
    <row r="50" spans="1:39" s="773" customFormat="1" ht="24.95" customHeight="1" x14ac:dyDescent="0.15">
      <c r="A50" s="818">
        <v>43</v>
      </c>
      <c r="B50" s="775" t="s">
        <v>232</v>
      </c>
      <c r="C50" s="1016" t="s">
        <v>312</v>
      </c>
      <c r="D50" s="1016" t="s">
        <v>27</v>
      </c>
      <c r="E50" s="1033">
        <v>70</v>
      </c>
      <c r="F50" s="1033">
        <v>70</v>
      </c>
      <c r="G50" s="779"/>
      <c r="H50" s="1025" t="s">
        <v>312</v>
      </c>
      <c r="I50" s="1025" t="s">
        <v>27</v>
      </c>
      <c r="J50" s="1036">
        <v>70</v>
      </c>
      <c r="K50" s="1036">
        <v>70</v>
      </c>
      <c r="L50" s="1016" t="s">
        <v>324</v>
      </c>
      <c r="M50" s="1016" t="s">
        <v>325</v>
      </c>
      <c r="N50" s="1025" t="s">
        <v>660</v>
      </c>
      <c r="O50" s="1025" t="s">
        <v>663</v>
      </c>
      <c r="P50" s="784"/>
      <c r="Q50" s="784"/>
      <c r="R50" s="784"/>
      <c r="S50" s="785"/>
      <c r="T50" s="770" t="s">
        <v>44</v>
      </c>
      <c r="U50" s="770">
        <f>COUNTIF(D48:D67,"임")</f>
        <v>1</v>
      </c>
      <c r="V50" s="771">
        <f>COUNTIF(I48:I67,"임")</f>
        <v>1</v>
      </c>
      <c r="W50" s="770" t="s">
        <v>26</v>
      </c>
      <c r="X50" s="770">
        <f>SUMIF(D48:D67,"임",F48:F67)</f>
        <v>419</v>
      </c>
      <c r="Y50" s="771">
        <f>SUMIF(I48:I67,"임",K48:K67)</f>
        <v>419</v>
      </c>
      <c r="Z50" s="770">
        <f>COUNTIF(AJ48:AJ67,"임국")+COUNTIF(AJ48:AJ67,"임공")</f>
        <v>0</v>
      </c>
      <c r="AA50" s="771">
        <f>COUNTIF(AK48:AK67,"임국")+COUNTIF(AK48:AK67,"임공")</f>
        <v>1</v>
      </c>
      <c r="AB50" s="770" t="s">
        <v>26</v>
      </c>
      <c r="AC50" s="770">
        <f>SUMIF(AJ48:AJ67,"임국",F48:F67)+SUMIF(AJ48:AJ67,"임공",F48:F67)</f>
        <v>0</v>
      </c>
      <c r="AD50" s="771">
        <f>SUMIF(AK48:AK67,"임국",K48:K67)+SUMIF(AK48:AK67,"임공",K48:K67)</f>
        <v>419</v>
      </c>
      <c r="AE50" s="770">
        <f t="shared" si="13"/>
        <v>1</v>
      </c>
      <c r="AF50" s="771">
        <f t="shared" si="14"/>
        <v>0</v>
      </c>
      <c r="AG50" s="770" t="s">
        <v>26</v>
      </c>
      <c r="AH50" s="770">
        <f t="shared" si="15"/>
        <v>419</v>
      </c>
      <c r="AI50" s="771">
        <f t="shared" si="16"/>
        <v>0</v>
      </c>
      <c r="AJ50" s="770" t="str">
        <f t="shared" si="17"/>
        <v>전김정평</v>
      </c>
      <c r="AK50" s="770" t="str">
        <f t="shared" si="5"/>
        <v>전공</v>
      </c>
      <c r="AL50" s="772"/>
      <c r="AM50" s="772"/>
    </row>
    <row r="51" spans="1:39" s="773" customFormat="1" ht="24.95" customHeight="1" x14ac:dyDescent="0.15">
      <c r="A51" s="818">
        <v>44</v>
      </c>
      <c r="B51" s="775" t="s">
        <v>232</v>
      </c>
      <c r="C51" s="1016" t="s">
        <v>313</v>
      </c>
      <c r="D51" s="1016" t="s">
        <v>154</v>
      </c>
      <c r="E51" s="1033">
        <v>205</v>
      </c>
      <c r="F51" s="1033">
        <v>42</v>
      </c>
      <c r="G51" s="779"/>
      <c r="H51" s="1025" t="s">
        <v>313</v>
      </c>
      <c r="I51" s="1025" t="s">
        <v>154</v>
      </c>
      <c r="J51" s="1036">
        <v>205</v>
      </c>
      <c r="K51" s="1036">
        <v>42</v>
      </c>
      <c r="L51" s="1016" t="s">
        <v>326</v>
      </c>
      <c r="M51" s="1016" t="s">
        <v>327</v>
      </c>
      <c r="N51" s="1025" t="s">
        <v>660</v>
      </c>
      <c r="O51" s="1025" t="s">
        <v>663</v>
      </c>
      <c r="P51" s="815"/>
      <c r="Q51" s="815"/>
      <c r="R51" s="815"/>
      <c r="S51" s="785"/>
      <c r="T51" s="770" t="s">
        <v>45</v>
      </c>
      <c r="U51" s="770">
        <f>COUNTIF(D48:D67,"대")</f>
        <v>4</v>
      </c>
      <c r="V51" s="771">
        <f>COUNTIF(I48:I67,"대")</f>
        <v>4</v>
      </c>
      <c r="W51" s="770" t="s">
        <v>26</v>
      </c>
      <c r="X51" s="770">
        <f>SUMIF(D48:D67,"대",F48:F67)</f>
        <v>338</v>
      </c>
      <c r="Y51" s="771">
        <f>SUMIF(I48:I67,"대",K48:K67)</f>
        <v>338</v>
      </c>
      <c r="Z51" s="770">
        <f>COUNTIF(AJ48:AJ67,"대국")+COUNTIF(AJ48:AJ67,"대공")</f>
        <v>0</v>
      </c>
      <c r="AA51" s="771">
        <f>COUNTIF(AK48:AK67,"대국")+COUNTIF(AK48:AK67,"대공")</f>
        <v>4</v>
      </c>
      <c r="AB51" s="770" t="s">
        <v>26</v>
      </c>
      <c r="AC51" s="770">
        <f>SUMIF(AJ48:AJ67,"대국",F48:F67)+SUMIF(AJ48:AJ67,"대공",F48:F67)</f>
        <v>0</v>
      </c>
      <c r="AD51" s="771">
        <f>SUMIF(AK48:AK67,"대국",K48:K67)+SUMIF(AK48:AK67,"대공",K48:K67)</f>
        <v>338</v>
      </c>
      <c r="AE51" s="770">
        <f t="shared" si="13"/>
        <v>4</v>
      </c>
      <c r="AF51" s="771">
        <f t="shared" si="14"/>
        <v>0</v>
      </c>
      <c r="AG51" s="770" t="s">
        <v>26</v>
      </c>
      <c r="AH51" s="770">
        <f t="shared" si="15"/>
        <v>338</v>
      </c>
      <c r="AI51" s="771">
        <f t="shared" si="16"/>
        <v>0</v>
      </c>
      <c r="AJ51" s="770" t="str">
        <f t="shared" si="17"/>
        <v>도고필주</v>
      </c>
      <c r="AK51" s="770" t="str">
        <f t="shared" si="5"/>
        <v>도공</v>
      </c>
      <c r="AL51" s="772"/>
      <c r="AM51" s="772"/>
    </row>
    <row r="52" spans="1:39" s="773" customFormat="1" ht="24.95" customHeight="1" x14ac:dyDescent="0.15">
      <c r="A52" s="818">
        <v>45</v>
      </c>
      <c r="B52" s="775" t="s">
        <v>232</v>
      </c>
      <c r="C52" s="1016" t="s">
        <v>314</v>
      </c>
      <c r="D52" s="1016" t="s">
        <v>156</v>
      </c>
      <c r="E52" s="1033">
        <v>106</v>
      </c>
      <c r="F52" s="1033">
        <v>106</v>
      </c>
      <c r="G52" s="779"/>
      <c r="H52" s="1025" t="s">
        <v>314</v>
      </c>
      <c r="I52" s="1025" t="s">
        <v>156</v>
      </c>
      <c r="J52" s="1036">
        <v>106</v>
      </c>
      <c r="K52" s="1036">
        <v>106</v>
      </c>
      <c r="L52" s="1016" t="s">
        <v>328</v>
      </c>
      <c r="M52" s="1038" t="s">
        <v>357</v>
      </c>
      <c r="N52" s="1025" t="s">
        <v>660</v>
      </c>
      <c r="O52" s="1025" t="s">
        <v>663</v>
      </c>
      <c r="P52" s="784"/>
      <c r="Q52" s="784"/>
      <c r="R52" s="784"/>
      <c r="S52" s="785"/>
      <c r="T52" s="770" t="s">
        <v>31</v>
      </c>
      <c r="U52" s="770">
        <f>COUNTIF(D48:D67,"도")</f>
        <v>6</v>
      </c>
      <c r="V52" s="771">
        <f>COUNTIF(I48:I67,"도")</f>
        <v>6</v>
      </c>
      <c r="W52" s="770" t="s">
        <v>26</v>
      </c>
      <c r="X52" s="770">
        <f>SUMIF(D48:D67,"도",F48:F67)</f>
        <v>519</v>
      </c>
      <c r="Y52" s="771">
        <f>SUMIF(I48:I67,"도",K48:K67)</f>
        <v>519</v>
      </c>
      <c r="Z52" s="770">
        <f>COUNTIF(AJ48:AJ67,"도국")+COUNTIF(AJ48:AJ67,"도공")</f>
        <v>3</v>
      </c>
      <c r="AA52" s="771">
        <f>COUNTIF(AK48:AK67,"도국")+COUNTIF(AK48:AK67,"도공")</f>
        <v>6</v>
      </c>
      <c r="AB52" s="770" t="s">
        <v>26</v>
      </c>
      <c r="AC52" s="770">
        <f>SUMIF(AJ48:AJ67,"도국",F48:F67)+SUMIF(AJ48:AJ67,"도공",F48:F67)</f>
        <v>405</v>
      </c>
      <c r="AD52" s="771">
        <f>SUMIF(AK48:AK67,"도국",K48:K67)+SUMIF(AK48:AK67,"도공",K48:K67)</f>
        <v>519</v>
      </c>
      <c r="AE52" s="770">
        <f t="shared" si="13"/>
        <v>3</v>
      </c>
      <c r="AF52" s="771">
        <f t="shared" si="14"/>
        <v>0</v>
      </c>
      <c r="AG52" s="770" t="s">
        <v>26</v>
      </c>
      <c r="AH52" s="770">
        <f t="shared" si="15"/>
        <v>114</v>
      </c>
      <c r="AI52" s="771">
        <f t="shared" si="16"/>
        <v>0</v>
      </c>
      <c r="AJ52" s="770" t="str">
        <f t="shared" si="17"/>
        <v>대김재영</v>
      </c>
      <c r="AK52" s="770" t="str">
        <f t="shared" si="5"/>
        <v>대공</v>
      </c>
      <c r="AL52" s="772"/>
      <c r="AM52" s="772"/>
    </row>
    <row r="53" spans="1:39" s="773" customFormat="1" ht="24.95" customHeight="1" x14ac:dyDescent="0.15">
      <c r="A53" s="818">
        <v>46</v>
      </c>
      <c r="B53" s="775" t="s">
        <v>232</v>
      </c>
      <c r="C53" s="1016" t="s">
        <v>315</v>
      </c>
      <c r="D53" s="1016" t="s">
        <v>154</v>
      </c>
      <c r="E53" s="1033">
        <v>1664</v>
      </c>
      <c r="F53" s="1033">
        <v>3</v>
      </c>
      <c r="G53" s="779"/>
      <c r="H53" s="1025" t="s">
        <v>315</v>
      </c>
      <c r="I53" s="1025" t="s">
        <v>154</v>
      </c>
      <c r="J53" s="1036">
        <v>1664</v>
      </c>
      <c r="K53" s="1036">
        <v>3</v>
      </c>
      <c r="L53" s="1016" t="s">
        <v>155</v>
      </c>
      <c r="M53" s="1016" t="s">
        <v>184</v>
      </c>
      <c r="N53" s="1025" t="s">
        <v>155</v>
      </c>
      <c r="O53" s="1025" t="s">
        <v>184</v>
      </c>
      <c r="P53" s="784"/>
      <c r="Q53" s="784"/>
      <c r="R53" s="784"/>
      <c r="S53" s="785"/>
      <c r="T53" s="770" t="s">
        <v>32</v>
      </c>
      <c r="U53" s="786">
        <f>COUNTIF(D48:D67,"천")</f>
        <v>0</v>
      </c>
      <c r="V53" s="787">
        <f>COUNTIF(I48:I67,"천")</f>
        <v>0</v>
      </c>
      <c r="W53" s="770" t="s">
        <v>26</v>
      </c>
      <c r="X53" s="770">
        <f>SUMIF(D48:D67,"천",F48:F67)</f>
        <v>0</v>
      </c>
      <c r="Y53" s="771">
        <f>SUMIF(I48:I67,"천",K48:K67)</f>
        <v>0</v>
      </c>
      <c r="Z53" s="770">
        <f>COUNTIF(AJ48:AJ67,"천국")+COUNTIF(AJ48:AJ67,"천공")</f>
        <v>0</v>
      </c>
      <c r="AA53" s="771">
        <f>COUNTIF(AK48:AK67,"천국")+COUNTIF(AK48:AK67,"천공")</f>
        <v>0</v>
      </c>
      <c r="AB53" s="770" t="s">
        <v>26</v>
      </c>
      <c r="AC53" s="770">
        <f>SUMIF(AJ48:AJ67,"천국",F48:F67)+SUMIF(AJ48:AJ67,"천공",F48:F67)</f>
        <v>0</v>
      </c>
      <c r="AD53" s="771">
        <f>SUMIF(AK48:AK67,"천국",K48:K67)+SUMIF(AK48:AK67,"천공",K48:K67)</f>
        <v>0</v>
      </c>
      <c r="AE53" s="770">
        <f t="shared" si="13"/>
        <v>0</v>
      </c>
      <c r="AF53" s="771">
        <f t="shared" si="14"/>
        <v>0</v>
      </c>
      <c r="AG53" s="770" t="s">
        <v>26</v>
      </c>
      <c r="AH53" s="770">
        <f t="shared" si="15"/>
        <v>0</v>
      </c>
      <c r="AI53" s="771">
        <f t="shared" si="16"/>
        <v>0</v>
      </c>
      <c r="AJ53" s="770" t="str">
        <f t="shared" si="17"/>
        <v>도국</v>
      </c>
      <c r="AK53" s="770" t="str">
        <f t="shared" si="5"/>
        <v>도국</v>
      </c>
      <c r="AL53" s="772"/>
      <c r="AM53" s="772"/>
    </row>
    <row r="54" spans="1:39" s="773" customFormat="1" ht="24.95" customHeight="1" x14ac:dyDescent="0.15">
      <c r="A54" s="774">
        <v>47</v>
      </c>
      <c r="B54" s="775" t="s">
        <v>232</v>
      </c>
      <c r="C54" s="1016" t="s">
        <v>316</v>
      </c>
      <c r="D54" s="1016" t="s">
        <v>27</v>
      </c>
      <c r="E54" s="1033">
        <v>1065</v>
      </c>
      <c r="F54" s="1033">
        <v>96</v>
      </c>
      <c r="G54" s="779"/>
      <c r="H54" s="1025" t="s">
        <v>316</v>
      </c>
      <c r="I54" s="1025" t="s">
        <v>27</v>
      </c>
      <c r="J54" s="1036">
        <v>1065</v>
      </c>
      <c r="K54" s="1036">
        <v>96</v>
      </c>
      <c r="L54" s="1016" t="s">
        <v>329</v>
      </c>
      <c r="M54" s="1016" t="s">
        <v>330</v>
      </c>
      <c r="N54" s="1025" t="s">
        <v>660</v>
      </c>
      <c r="O54" s="1025" t="s">
        <v>663</v>
      </c>
      <c r="P54" s="825"/>
      <c r="Q54" s="825"/>
      <c r="R54" s="825"/>
      <c r="S54" s="785"/>
      <c r="T54" s="770" t="s">
        <v>33</v>
      </c>
      <c r="U54" s="770">
        <f>COUNTIF(D48:D67,"구")</f>
        <v>0</v>
      </c>
      <c r="V54" s="771">
        <f>COUNTIF(I48:I67,"구")</f>
        <v>0</v>
      </c>
      <c r="W54" s="770" t="s">
        <v>26</v>
      </c>
      <c r="X54" s="770">
        <f>SUMIF(D48:D67,"구",F48:F67)</f>
        <v>0</v>
      </c>
      <c r="Y54" s="771">
        <f>SUMIF(I48:I67,"구",K48:K67)</f>
        <v>0</v>
      </c>
      <c r="Z54" s="770">
        <f>COUNTIF(AJ48:AJ67,"구국")+COUNTIF(AJ48:AJ67,"구공")</f>
        <v>0</v>
      </c>
      <c r="AA54" s="771">
        <f>COUNTIF(AK48:AK67,"구국")+COUNTIF(AK48:AK67,"구공")</f>
        <v>0</v>
      </c>
      <c r="AB54" s="770" t="s">
        <v>26</v>
      </c>
      <c r="AC54" s="770">
        <f>SUMIF(AJ48:AJ67,"구국",F48:F67)+SUMIF(AJ48:AJ67,"구공",F48:F67)</f>
        <v>0</v>
      </c>
      <c r="AD54" s="771">
        <f>SUMIF(AK48:AK67,"구국",K48:K67)+SUMIF(AK48:AK67,"구공",K48:K67)</f>
        <v>0</v>
      </c>
      <c r="AE54" s="770">
        <f t="shared" si="13"/>
        <v>0</v>
      </c>
      <c r="AF54" s="771">
        <f t="shared" si="14"/>
        <v>0</v>
      </c>
      <c r="AG54" s="770" t="s">
        <v>26</v>
      </c>
      <c r="AH54" s="770">
        <f t="shared" si="15"/>
        <v>0</v>
      </c>
      <c r="AI54" s="771">
        <f t="shared" si="16"/>
        <v>0</v>
      </c>
      <c r="AJ54" s="770" t="str">
        <f t="shared" si="17"/>
        <v>전고창선</v>
      </c>
      <c r="AK54" s="770" t="str">
        <f t="shared" si="5"/>
        <v>전공</v>
      </c>
      <c r="AL54" s="772"/>
      <c r="AM54" s="772"/>
    </row>
    <row r="55" spans="1:39" s="773" customFormat="1" ht="24.95" customHeight="1" x14ac:dyDescent="0.15">
      <c r="A55" s="774">
        <v>48</v>
      </c>
      <c r="B55" s="775" t="s">
        <v>232</v>
      </c>
      <c r="C55" s="1016" t="s">
        <v>332</v>
      </c>
      <c r="D55" s="1016" t="s">
        <v>27</v>
      </c>
      <c r="E55" s="1033">
        <v>117</v>
      </c>
      <c r="F55" s="1033">
        <v>117</v>
      </c>
      <c r="G55" s="779"/>
      <c r="H55" s="1025" t="s">
        <v>332</v>
      </c>
      <c r="I55" s="1025" t="s">
        <v>27</v>
      </c>
      <c r="J55" s="1036">
        <v>117</v>
      </c>
      <c r="K55" s="1036">
        <v>117</v>
      </c>
      <c r="L55" s="1016" t="s">
        <v>257</v>
      </c>
      <c r="M55" s="1016" t="s">
        <v>258</v>
      </c>
      <c r="N55" s="1025" t="s">
        <v>660</v>
      </c>
      <c r="O55" s="1025" t="s">
        <v>663</v>
      </c>
      <c r="P55" s="815"/>
      <c r="Q55" s="815"/>
      <c r="R55" s="784"/>
      <c r="S55" s="785"/>
      <c r="T55" s="770" t="s">
        <v>34</v>
      </c>
      <c r="U55" s="770">
        <f>COUNTIF(D48:D67,"제")</f>
        <v>0</v>
      </c>
      <c r="V55" s="771">
        <f>COUNTIF(I48:I67,"제")</f>
        <v>0</v>
      </c>
      <c r="W55" s="770" t="s">
        <v>26</v>
      </c>
      <c r="X55" s="770">
        <f>SUMIF(D48:D67,"제",F48:F67)</f>
        <v>0</v>
      </c>
      <c r="Y55" s="771">
        <f>SUMIF(I48:I67,"제",K48:K67)</f>
        <v>0</v>
      </c>
      <c r="Z55" s="770">
        <f>COUNTIF(AJ48:AJ67,"제국")+COUNTIF(AJ48:AJ67,"제공")</f>
        <v>0</v>
      </c>
      <c r="AA55" s="771">
        <f>COUNTIF(AK48:AK67,"제국")+COUNTIF(AK48:AK67,"제공")</f>
        <v>0</v>
      </c>
      <c r="AB55" s="770" t="s">
        <v>26</v>
      </c>
      <c r="AC55" s="770">
        <f>SUMIF(AJ48:AJ67,"제국",F48:F67)+SUMIF(AJ48:AJ67,"제공",F48:F67)</f>
        <v>0</v>
      </c>
      <c r="AD55" s="771">
        <f>SUMIF(AK48:AK67,"제국",K48:K67)+SUMIF(AK48:AK67,"제공",K48:K67)</f>
        <v>0</v>
      </c>
      <c r="AE55" s="770">
        <f t="shared" si="13"/>
        <v>0</v>
      </c>
      <c r="AF55" s="771">
        <f t="shared" si="14"/>
        <v>0</v>
      </c>
      <c r="AG55" s="770" t="s">
        <v>26</v>
      </c>
      <c r="AH55" s="770">
        <f t="shared" si="15"/>
        <v>0</v>
      </c>
      <c r="AI55" s="771">
        <f t="shared" si="16"/>
        <v>0</v>
      </c>
      <c r="AJ55" s="770" t="str">
        <f t="shared" si="17"/>
        <v>전최현식</v>
      </c>
      <c r="AK55" s="770" t="str">
        <f t="shared" si="5"/>
        <v>전공</v>
      </c>
      <c r="AL55" s="772"/>
      <c r="AM55" s="772"/>
    </row>
    <row r="56" spans="1:39" s="773" customFormat="1" ht="24.95" customHeight="1" x14ac:dyDescent="0.15">
      <c r="A56" s="774">
        <v>49</v>
      </c>
      <c r="B56" s="775" t="s">
        <v>232</v>
      </c>
      <c r="C56" s="1016" t="s">
        <v>333</v>
      </c>
      <c r="D56" s="1016" t="s">
        <v>154</v>
      </c>
      <c r="E56" s="1033">
        <v>63</v>
      </c>
      <c r="F56" s="1033">
        <v>63</v>
      </c>
      <c r="G56" s="779"/>
      <c r="H56" s="1025" t="s">
        <v>333</v>
      </c>
      <c r="I56" s="1025" t="s">
        <v>154</v>
      </c>
      <c r="J56" s="1036">
        <v>63</v>
      </c>
      <c r="K56" s="1036">
        <v>63</v>
      </c>
      <c r="L56" s="1016" t="s">
        <v>343</v>
      </c>
      <c r="M56" s="1016" t="s">
        <v>344</v>
      </c>
      <c r="N56" s="1025" t="s">
        <v>660</v>
      </c>
      <c r="O56" s="1025" t="s">
        <v>663</v>
      </c>
      <c r="P56" s="815"/>
      <c r="Q56" s="815"/>
      <c r="R56" s="825"/>
      <c r="S56" s="785"/>
      <c r="T56" s="770" t="s">
        <v>46</v>
      </c>
      <c r="U56" s="770">
        <f>COUNTIF(D48:D67,"유")</f>
        <v>0</v>
      </c>
      <c r="V56" s="771">
        <f>COUNTIF(I48:I67,"유")</f>
        <v>0</v>
      </c>
      <c r="W56" s="770" t="s">
        <v>26</v>
      </c>
      <c r="X56" s="770">
        <f>SUMIF(D48:D67,"유",F48:F67)</f>
        <v>0</v>
      </c>
      <c r="Y56" s="771">
        <f>SUMIF(I48:I67,"유",K48:K67)</f>
        <v>0</v>
      </c>
      <c r="Z56" s="770">
        <f>COUNTIF(AJ48:AJ67,"유국")+COUNTIF(AJ48:AJ67,"유공")</f>
        <v>0</v>
      </c>
      <c r="AA56" s="771">
        <f>COUNTIF(AK48:AK67,"유국")+COUNTIF(AK48:AK67,"유공")</f>
        <v>0</v>
      </c>
      <c r="AB56" s="770" t="s">
        <v>26</v>
      </c>
      <c r="AC56" s="770">
        <f>SUMIF(AJ48:AJ67,"유국",F48:F67)+SUMIF(AJ48:AJ67,"유공",F48:F67)</f>
        <v>0</v>
      </c>
      <c r="AD56" s="771">
        <f>SUMIF(AK48:AK67,"유국",K48:K67)+SUMIF(AK48:AK67,"유공",K48:K67)</f>
        <v>0</v>
      </c>
      <c r="AE56" s="770">
        <f t="shared" si="13"/>
        <v>0</v>
      </c>
      <c r="AF56" s="771">
        <f t="shared" si="14"/>
        <v>0</v>
      </c>
      <c r="AG56" s="770" t="s">
        <v>26</v>
      </c>
      <c r="AH56" s="770">
        <f t="shared" si="15"/>
        <v>0</v>
      </c>
      <c r="AI56" s="771">
        <f t="shared" si="16"/>
        <v>0</v>
      </c>
      <c r="AJ56" s="770" t="str">
        <f t="shared" si="17"/>
        <v>도이용산</v>
      </c>
      <c r="AK56" s="770" t="str">
        <f t="shared" si="5"/>
        <v>도공</v>
      </c>
      <c r="AL56" s="772"/>
      <c r="AM56" s="772"/>
    </row>
    <row r="57" spans="1:39" s="773" customFormat="1" ht="24.95" customHeight="1" x14ac:dyDescent="0.15">
      <c r="A57" s="774">
        <v>50</v>
      </c>
      <c r="B57" s="775"/>
      <c r="C57" s="1016" t="s">
        <v>334</v>
      </c>
      <c r="D57" s="1016" t="s">
        <v>154</v>
      </c>
      <c r="E57" s="1033">
        <v>9</v>
      </c>
      <c r="F57" s="1033">
        <v>9</v>
      </c>
      <c r="G57" s="779"/>
      <c r="H57" s="1025" t="s">
        <v>334</v>
      </c>
      <c r="I57" s="1025" t="s">
        <v>154</v>
      </c>
      <c r="J57" s="1036">
        <v>9</v>
      </c>
      <c r="K57" s="1036">
        <v>9</v>
      </c>
      <c r="L57" s="1016" t="s">
        <v>345</v>
      </c>
      <c r="M57" s="1016" t="s">
        <v>346</v>
      </c>
      <c r="N57" s="1025" t="s">
        <v>660</v>
      </c>
      <c r="O57" s="1025" t="s">
        <v>663</v>
      </c>
      <c r="P57" s="784"/>
      <c r="Q57" s="784"/>
      <c r="R57" s="784"/>
      <c r="S57" s="785"/>
      <c r="T57" s="770" t="s">
        <v>47</v>
      </c>
      <c r="U57" s="770">
        <f>COUNTIF(D48:D67,"과")</f>
        <v>0</v>
      </c>
      <c r="V57" s="771">
        <f>COUNTIF(I48:I67,"과")</f>
        <v>0</v>
      </c>
      <c r="W57" s="770" t="s">
        <v>26</v>
      </c>
      <c r="X57" s="770">
        <f>SUMIF(D48:D67,"과",F48:F67)</f>
        <v>0</v>
      </c>
      <c r="Y57" s="771">
        <f>SUMIF(I48:I67,"과",K48:K67)</f>
        <v>0</v>
      </c>
      <c r="Z57" s="770">
        <f>COUNTIF(AJ48:AJ67,"과국")+COUNTIF(AJ48:AJ67,"과공")</f>
        <v>0</v>
      </c>
      <c r="AA57" s="771">
        <f>COUNTIF(AK48:AK67,"과국")+COUNTIF(AK48:AK67,"과공")</f>
        <v>0</v>
      </c>
      <c r="AB57" s="770" t="s">
        <v>26</v>
      </c>
      <c r="AC57" s="770">
        <f>SUMIF(AJ48:AJ67,"과국",F48:F67)+SUMIF(AJ48:AJ67,"과공",F48:F67)</f>
        <v>0</v>
      </c>
      <c r="AD57" s="771">
        <f>SUMIF(AK48:AK67,"과국",K48:K67)+SUMIF(AK48:AK67,"과공",K48:K67)</f>
        <v>0</v>
      </c>
      <c r="AE57" s="770">
        <f t="shared" si="13"/>
        <v>0</v>
      </c>
      <c r="AF57" s="771">
        <f t="shared" si="14"/>
        <v>0</v>
      </c>
      <c r="AG57" s="770" t="s">
        <v>26</v>
      </c>
      <c r="AH57" s="770">
        <f t="shared" si="15"/>
        <v>0</v>
      </c>
      <c r="AI57" s="771">
        <f t="shared" si="16"/>
        <v>0</v>
      </c>
      <c r="AJ57" s="770" t="str">
        <f t="shared" si="17"/>
        <v>도고정복</v>
      </c>
      <c r="AK57" s="770" t="str">
        <f t="shared" si="5"/>
        <v>도공</v>
      </c>
      <c r="AL57" s="772"/>
      <c r="AM57" s="772"/>
    </row>
    <row r="58" spans="1:39" s="773" customFormat="1" ht="24.95" customHeight="1" x14ac:dyDescent="0.15">
      <c r="A58" s="774">
        <v>51</v>
      </c>
      <c r="B58" s="775" t="s">
        <v>232</v>
      </c>
      <c r="C58" s="1016" t="s">
        <v>335</v>
      </c>
      <c r="D58" s="1016" t="s">
        <v>27</v>
      </c>
      <c r="E58" s="1033">
        <v>265</v>
      </c>
      <c r="F58" s="1033">
        <v>265</v>
      </c>
      <c r="G58" s="779"/>
      <c r="H58" s="1025" t="s">
        <v>335</v>
      </c>
      <c r="I58" s="1025" t="s">
        <v>27</v>
      </c>
      <c r="J58" s="1036">
        <v>265</v>
      </c>
      <c r="K58" s="1036">
        <v>265</v>
      </c>
      <c r="L58" s="1016" t="s">
        <v>329</v>
      </c>
      <c r="M58" s="1016" t="s">
        <v>330</v>
      </c>
      <c r="N58" s="1025" t="s">
        <v>660</v>
      </c>
      <c r="O58" s="1025" t="s">
        <v>663</v>
      </c>
      <c r="P58" s="784"/>
      <c r="Q58" s="784"/>
      <c r="R58" s="815"/>
      <c r="S58" s="785"/>
      <c r="T58" s="770" t="s">
        <v>36</v>
      </c>
      <c r="U58" s="770">
        <f>COUNTIF(D48:D67,"묘")</f>
        <v>0</v>
      </c>
      <c r="V58" s="771">
        <f>COUNTIF(I48:I67,"묘")</f>
        <v>0</v>
      </c>
      <c r="W58" s="770" t="s">
        <v>26</v>
      </c>
      <c r="X58" s="770">
        <f>SUMIF(D48:D67,"묘",F48:F67)</f>
        <v>0</v>
      </c>
      <c r="Y58" s="771">
        <f>SUMIF(I48:I67,"묘",K48:K67)</f>
        <v>0</v>
      </c>
      <c r="Z58" s="770">
        <f>COUNTIF(AJ48:AJ67,"묘국")+COUNTIF(AJ48:AJ67,"묘공")</f>
        <v>0</v>
      </c>
      <c r="AA58" s="771">
        <f>COUNTIF(AK48:AK67,"묘국")+COUNTIF(AK48:AK67,"묘공")</f>
        <v>0</v>
      </c>
      <c r="AB58" s="770" t="s">
        <v>26</v>
      </c>
      <c r="AC58" s="770">
        <f>SUMIF(AJ48:AJ67,"묘국",F48:F67)+SUMIF(AJ48:AJ67,"묘공",F48:F67)</f>
        <v>0</v>
      </c>
      <c r="AD58" s="771">
        <f>SUMIF(AK48:AK67,"묘국",K48:K67)+SUMIF(AK48:AK67,"묘공",K48:K67)</f>
        <v>0</v>
      </c>
      <c r="AE58" s="770">
        <f t="shared" si="13"/>
        <v>0</v>
      </c>
      <c r="AF58" s="771">
        <f t="shared" si="14"/>
        <v>0</v>
      </c>
      <c r="AG58" s="770" t="s">
        <v>26</v>
      </c>
      <c r="AH58" s="770">
        <f t="shared" si="15"/>
        <v>0</v>
      </c>
      <c r="AI58" s="771">
        <f t="shared" si="16"/>
        <v>0</v>
      </c>
      <c r="AJ58" s="770" t="str">
        <f t="shared" si="17"/>
        <v>전고창선</v>
      </c>
      <c r="AK58" s="770" t="str">
        <f t="shared" si="5"/>
        <v>전공</v>
      </c>
      <c r="AL58" s="772"/>
      <c r="AM58" s="772"/>
    </row>
    <row r="59" spans="1:39" s="773" customFormat="1" ht="24.95" customHeight="1" x14ac:dyDescent="0.15">
      <c r="A59" s="774">
        <v>52</v>
      </c>
      <c r="B59" s="775" t="s">
        <v>232</v>
      </c>
      <c r="C59" s="1016" t="s">
        <v>336</v>
      </c>
      <c r="D59" s="1016" t="s">
        <v>156</v>
      </c>
      <c r="E59" s="1033">
        <v>14</v>
      </c>
      <c r="F59" s="1033">
        <v>14</v>
      </c>
      <c r="G59" s="779"/>
      <c r="H59" s="1025" t="s">
        <v>336</v>
      </c>
      <c r="I59" s="1025" t="s">
        <v>156</v>
      </c>
      <c r="J59" s="1036">
        <v>14</v>
      </c>
      <c r="K59" s="1036">
        <v>14</v>
      </c>
      <c r="L59" s="1016" t="s">
        <v>347</v>
      </c>
      <c r="M59" s="1016" t="s">
        <v>348</v>
      </c>
      <c r="N59" s="1025" t="s">
        <v>660</v>
      </c>
      <c r="O59" s="1025" t="s">
        <v>663</v>
      </c>
      <c r="P59" s="815"/>
      <c r="Q59" s="815"/>
      <c r="R59" s="815"/>
      <c r="S59" s="785"/>
      <c r="T59" s="770" t="s">
        <v>39</v>
      </c>
      <c r="U59" s="770">
        <f>COUNTIF(D48:D67,"수")</f>
        <v>0</v>
      </c>
      <c r="V59" s="771">
        <f>COUNTIF(I48:I67,"수")</f>
        <v>0</v>
      </c>
      <c r="W59" s="770" t="s">
        <v>26</v>
      </c>
      <c r="X59" s="770">
        <f>SUMIF(D48:D67,"수",F48:F67)</f>
        <v>0</v>
      </c>
      <c r="Y59" s="771">
        <f>SUMIF(I48:I67,"수",K48:K67)</f>
        <v>0</v>
      </c>
      <c r="Z59" s="770">
        <f>COUNTIF(AJ48:AJ67,"수국")+COUNTIF(AJ48:AJ67,"수공")</f>
        <v>0</v>
      </c>
      <c r="AA59" s="771">
        <f>COUNTIF(AK48:AK67,"수국")+COUNTIF(AK48:AK67,"수공")</f>
        <v>0</v>
      </c>
      <c r="AB59" s="770" t="s">
        <v>26</v>
      </c>
      <c r="AC59" s="770">
        <f>SUMIF(AJ48:AJ67,"수국",F48:F67)+SUMIF(AJ48:AJ67,"수공",F48:F67)</f>
        <v>0</v>
      </c>
      <c r="AD59" s="771">
        <f>SUMIF(AK48:AK67,"수국",K48:K67)+SUMIF(AK48:AK67,"수공",K48:K67)</f>
        <v>0</v>
      </c>
      <c r="AE59" s="770">
        <f t="shared" si="13"/>
        <v>0</v>
      </c>
      <c r="AF59" s="771">
        <f t="shared" si="14"/>
        <v>0</v>
      </c>
      <c r="AG59" s="770" t="s">
        <v>26</v>
      </c>
      <c r="AH59" s="770">
        <f t="shared" si="15"/>
        <v>0</v>
      </c>
      <c r="AI59" s="771">
        <f t="shared" si="16"/>
        <v>0</v>
      </c>
      <c r="AJ59" s="770" t="str">
        <f t="shared" si="17"/>
        <v>대고광춘</v>
      </c>
      <c r="AK59" s="770" t="str">
        <f t="shared" si="5"/>
        <v>대공</v>
      </c>
      <c r="AL59" s="772"/>
      <c r="AM59" s="772"/>
    </row>
    <row r="60" spans="1:39" s="773" customFormat="1" ht="24.75" customHeight="1" x14ac:dyDescent="0.15">
      <c r="A60" s="818">
        <v>53</v>
      </c>
      <c r="B60" s="775" t="s">
        <v>232</v>
      </c>
      <c r="C60" s="1016" t="s">
        <v>337</v>
      </c>
      <c r="D60" s="1016" t="s">
        <v>156</v>
      </c>
      <c r="E60" s="1033">
        <v>45</v>
      </c>
      <c r="F60" s="1033">
        <v>45</v>
      </c>
      <c r="G60" s="779"/>
      <c r="H60" s="1025" t="s">
        <v>337</v>
      </c>
      <c r="I60" s="1025" t="s">
        <v>156</v>
      </c>
      <c r="J60" s="1036">
        <v>45</v>
      </c>
      <c r="K60" s="1036">
        <v>45</v>
      </c>
      <c r="L60" s="1016" t="s">
        <v>347</v>
      </c>
      <c r="M60" s="1016" t="s">
        <v>348</v>
      </c>
      <c r="N60" s="1025" t="s">
        <v>660</v>
      </c>
      <c r="O60" s="1025" t="s">
        <v>663</v>
      </c>
      <c r="P60" s="784"/>
      <c r="Q60" s="784"/>
      <c r="R60" s="784"/>
      <c r="S60" s="785"/>
      <c r="T60" s="770" t="s">
        <v>35</v>
      </c>
      <c r="U60" s="770">
        <f>COUNTIF(D48:D67,"잡")</f>
        <v>0</v>
      </c>
      <c r="V60" s="771">
        <f>COUNTIF(I48:I67,"잡")</f>
        <v>0</v>
      </c>
      <c r="W60" s="770" t="s">
        <v>26</v>
      </c>
      <c r="X60" s="770">
        <f>SUMIF(D48:D67,"잡",F48:F67)</f>
        <v>0</v>
      </c>
      <c r="Y60" s="771">
        <f>SUMIF(I48:I67,"잡",K48:K67)</f>
        <v>0</v>
      </c>
      <c r="Z60" s="770">
        <f>COUNTIF(AJ48:AJ67,"잡국")+COUNTIF(AJ48:AJ67,"잡공")</f>
        <v>0</v>
      </c>
      <c r="AA60" s="771">
        <f>COUNTIF(AK48:AK67,"잡국")+COUNTIF(AK48:AK67,"잡공")</f>
        <v>0</v>
      </c>
      <c r="AB60" s="770" t="s">
        <v>26</v>
      </c>
      <c r="AC60" s="770">
        <f>SUMIF(AJ48:AJ67,"잡국",F48:F67)+SUMIF(AJ48:AJ67,"잡공",F48:F67)</f>
        <v>0</v>
      </c>
      <c r="AD60" s="771">
        <f>SUMIF(AK48:AK67,"잡국",K48:K67)+SUMIF(AK48:AK67,"잡공",K48:K67)</f>
        <v>0</v>
      </c>
      <c r="AE60" s="770">
        <f t="shared" si="13"/>
        <v>0</v>
      </c>
      <c r="AF60" s="771">
        <f t="shared" si="14"/>
        <v>0</v>
      </c>
      <c r="AG60" s="770" t="s">
        <v>26</v>
      </c>
      <c r="AH60" s="770">
        <f t="shared" si="15"/>
        <v>0</v>
      </c>
      <c r="AI60" s="771">
        <f t="shared" si="16"/>
        <v>0</v>
      </c>
      <c r="AJ60" s="770" t="str">
        <f t="shared" si="17"/>
        <v>대고광춘</v>
      </c>
      <c r="AK60" s="770" t="str">
        <f t="shared" si="5"/>
        <v>대공</v>
      </c>
      <c r="AL60" s="772"/>
      <c r="AM60" s="772"/>
    </row>
    <row r="61" spans="1:39" s="773" customFormat="1" ht="24.95" customHeight="1" x14ac:dyDescent="0.15">
      <c r="A61" s="818">
        <v>54</v>
      </c>
      <c r="B61" s="775" t="s">
        <v>232</v>
      </c>
      <c r="C61" s="1016" t="s">
        <v>338</v>
      </c>
      <c r="D61" s="1016" t="s">
        <v>27</v>
      </c>
      <c r="E61" s="1033">
        <v>298</v>
      </c>
      <c r="F61" s="1033">
        <v>298</v>
      </c>
      <c r="G61" s="779"/>
      <c r="H61" s="1025" t="s">
        <v>338</v>
      </c>
      <c r="I61" s="1025" t="s">
        <v>27</v>
      </c>
      <c r="J61" s="1036">
        <v>298</v>
      </c>
      <c r="K61" s="1036">
        <v>298</v>
      </c>
      <c r="L61" s="1016" t="s">
        <v>349</v>
      </c>
      <c r="M61" s="1016" t="s">
        <v>354</v>
      </c>
      <c r="N61" s="1025" t="s">
        <v>660</v>
      </c>
      <c r="O61" s="1025" t="s">
        <v>663</v>
      </c>
      <c r="P61" s="784"/>
      <c r="Q61" s="784"/>
      <c r="R61" s="784"/>
      <c r="S61" s="810"/>
      <c r="T61" s="770" t="s">
        <v>51</v>
      </c>
      <c r="U61" s="770">
        <f>COUNTIF(D48:D67,"체")</f>
        <v>0</v>
      </c>
      <c r="V61" s="771">
        <f>COUNTIF(I48:I67,"체")</f>
        <v>0</v>
      </c>
      <c r="W61" s="770" t="s">
        <v>26</v>
      </c>
      <c r="X61" s="770">
        <f>SUMIF(D48:D67,"체",F48:F67)</f>
        <v>0</v>
      </c>
      <c r="Y61" s="771">
        <f>SUMIF(I48:I67,"체",K48:K67)</f>
        <v>0</v>
      </c>
      <c r="Z61" s="770">
        <f>COUNTIF(AJ48:AJ67,"체국")+COUNTIF(AJ48:AJ67,"체공")</f>
        <v>0</v>
      </c>
      <c r="AA61" s="771">
        <f>COUNTIF(AK48:AK67,"체국")+COUNTIF(AK48:AK67,"체공")</f>
        <v>0</v>
      </c>
      <c r="AB61" s="770" t="s">
        <v>26</v>
      </c>
      <c r="AC61" s="770">
        <f>SUMIF(AJ48:AJ67,"체국",F48:F67)+SUMIF(AJ48:AJ67,"체공",F48:F67)</f>
        <v>0</v>
      </c>
      <c r="AD61" s="771">
        <f>SUMIF(AK48:AK67,"체국",K48:K67)+SUMIF(AK48:AK67,"체공",K48:K67)</f>
        <v>0</v>
      </c>
      <c r="AE61" s="770">
        <f t="shared" si="13"/>
        <v>0</v>
      </c>
      <c r="AF61" s="771">
        <f t="shared" si="14"/>
        <v>0</v>
      </c>
      <c r="AG61" s="770" t="s">
        <v>26</v>
      </c>
      <c r="AH61" s="770">
        <f t="shared" si="15"/>
        <v>0</v>
      </c>
      <c r="AI61" s="771">
        <f t="shared" si="16"/>
        <v>0</v>
      </c>
      <c r="AJ61" s="770" t="str">
        <f t="shared" si="17"/>
        <v>전이용천</v>
      </c>
      <c r="AK61" s="770" t="str">
        <f t="shared" si="5"/>
        <v>전공</v>
      </c>
      <c r="AL61" s="772"/>
      <c r="AM61" s="772"/>
    </row>
    <row r="62" spans="1:39" s="773" customFormat="1" ht="24.95" customHeight="1" x14ac:dyDescent="0.15">
      <c r="A62" s="818">
        <v>55</v>
      </c>
      <c r="B62" s="775" t="s">
        <v>232</v>
      </c>
      <c r="C62" s="1016" t="s">
        <v>339</v>
      </c>
      <c r="D62" s="1016" t="s">
        <v>340</v>
      </c>
      <c r="E62" s="1033">
        <v>42</v>
      </c>
      <c r="F62" s="1033">
        <v>42</v>
      </c>
      <c r="G62" s="779"/>
      <c r="H62" s="1025" t="s">
        <v>339</v>
      </c>
      <c r="I62" s="1025" t="s">
        <v>340</v>
      </c>
      <c r="J62" s="1036">
        <v>42</v>
      </c>
      <c r="K62" s="1036">
        <v>42</v>
      </c>
      <c r="L62" s="1016" t="s">
        <v>350</v>
      </c>
      <c r="M62" s="1016" t="s">
        <v>351</v>
      </c>
      <c r="N62" s="1025" t="s">
        <v>660</v>
      </c>
      <c r="O62" s="1025" t="s">
        <v>663</v>
      </c>
      <c r="P62" s="815"/>
      <c r="Q62" s="815"/>
      <c r="R62" s="815"/>
      <c r="S62" s="810"/>
      <c r="T62" s="770" t="s">
        <v>50</v>
      </c>
      <c r="U62" s="770">
        <f>COUNTIF(D48:D67,"공")</f>
        <v>0</v>
      </c>
      <c r="V62" s="771">
        <f>COUNTIF(I48:I67,"공")</f>
        <v>0</v>
      </c>
      <c r="W62" s="770" t="s">
        <v>26</v>
      </c>
      <c r="X62" s="770">
        <f>SUMIF(D48:D67,"공",F48:F67)</f>
        <v>0</v>
      </c>
      <c r="Y62" s="771">
        <f>SUMIF(I48:I67,"공",K48:K67)</f>
        <v>0</v>
      </c>
      <c r="Z62" s="770">
        <f>COUNTIF(AJ48:AJ67,"공국")+COUNTIF(AJ48:AJ67,"공공")</f>
        <v>0</v>
      </c>
      <c r="AA62" s="771">
        <f>COUNTIF(AK48:AK67,"공국")+COUNTIF(AK48:AK67,"공공")</f>
        <v>0</v>
      </c>
      <c r="AB62" s="770" t="s">
        <v>26</v>
      </c>
      <c r="AC62" s="770">
        <f>SUMIF(AJ48:AJ67,"공국",F48:F67)+SUMIF(AJ48:AJ67,"공공",F48:F67)</f>
        <v>0</v>
      </c>
      <c r="AD62" s="771">
        <f>SUMIF(AK48:AK67,"공국",K48:K67)+SUMIF(AK48:AK67,"공공",K48:K67)</f>
        <v>0</v>
      </c>
      <c r="AE62" s="770">
        <f t="shared" si="13"/>
        <v>0</v>
      </c>
      <c r="AF62" s="771">
        <f t="shared" si="14"/>
        <v>0</v>
      </c>
      <c r="AG62" s="770" t="s">
        <v>26</v>
      </c>
      <c r="AH62" s="770">
        <f t="shared" si="15"/>
        <v>0</v>
      </c>
      <c r="AI62" s="771">
        <f t="shared" si="16"/>
        <v>0</v>
      </c>
      <c r="AJ62" s="770" t="str">
        <f t="shared" si="17"/>
        <v>목임순예</v>
      </c>
      <c r="AK62" s="770" t="str">
        <f t="shared" si="5"/>
        <v>목공</v>
      </c>
      <c r="AL62" s="772"/>
      <c r="AM62" s="772"/>
    </row>
    <row r="63" spans="1:39" s="773" customFormat="1" ht="24.95" customHeight="1" x14ac:dyDescent="0.15">
      <c r="A63" s="818">
        <v>56</v>
      </c>
      <c r="B63" s="775" t="s">
        <v>232</v>
      </c>
      <c r="C63" s="1016" t="s">
        <v>341</v>
      </c>
      <c r="D63" s="1016" t="s">
        <v>156</v>
      </c>
      <c r="E63" s="1033">
        <v>173</v>
      </c>
      <c r="F63" s="1033">
        <v>173</v>
      </c>
      <c r="G63" s="779"/>
      <c r="H63" s="1025" t="s">
        <v>341</v>
      </c>
      <c r="I63" s="1025" t="s">
        <v>156</v>
      </c>
      <c r="J63" s="1036">
        <v>173</v>
      </c>
      <c r="K63" s="1036">
        <v>173</v>
      </c>
      <c r="L63" s="1016" t="s">
        <v>350</v>
      </c>
      <c r="M63" s="1016" t="s">
        <v>351</v>
      </c>
      <c r="N63" s="1025" t="s">
        <v>660</v>
      </c>
      <c r="O63" s="1025" t="s">
        <v>663</v>
      </c>
      <c r="P63" s="809"/>
      <c r="Q63" s="809"/>
      <c r="R63" s="784"/>
      <c r="S63" s="785"/>
      <c r="T63" s="791" t="s">
        <v>40</v>
      </c>
      <c r="U63" s="770">
        <f>COUNTIF(D48:D67,"장")</f>
        <v>0</v>
      </c>
      <c r="V63" s="771">
        <f>COUNTIF(I48:I67,"장")</f>
        <v>0</v>
      </c>
      <c r="W63" s="770" t="s">
        <v>26</v>
      </c>
      <c r="X63" s="770">
        <f>SUMIF(D48:D67,"장",F48:F67)</f>
        <v>0</v>
      </c>
      <c r="Y63" s="771">
        <f>SUMIF(I48:I67,"장",K48:K67)</f>
        <v>0</v>
      </c>
      <c r="Z63" s="770">
        <f>COUNTIF(AJ48:AJ67,"장국")+COUNTIF(AJ48:AJ67,"장공")</f>
        <v>0</v>
      </c>
      <c r="AA63" s="771">
        <f>COUNTIF(AK48:AK67,"장국")+COUNTIF(AK48:AK67,"장공")</f>
        <v>0</v>
      </c>
      <c r="AB63" s="770" t="s">
        <v>26</v>
      </c>
      <c r="AC63" s="770">
        <f>SUMIF(AJ48:AJ67,"장국",F48:F67)+SUMIF(AJ48:AJ67,"장공",F48:F67)</f>
        <v>0</v>
      </c>
      <c r="AD63" s="771">
        <f>SUMIF(AK48:AK67,"장국",K48:K67)+SUMIF(AK48:AK67,"장공",K48:K67)</f>
        <v>0</v>
      </c>
      <c r="AE63" s="770">
        <f t="shared" si="13"/>
        <v>0</v>
      </c>
      <c r="AF63" s="771">
        <f t="shared" si="14"/>
        <v>0</v>
      </c>
      <c r="AG63" s="770" t="s">
        <v>26</v>
      </c>
      <c r="AH63" s="770">
        <f t="shared" si="15"/>
        <v>0</v>
      </c>
      <c r="AI63" s="771">
        <f t="shared" si="16"/>
        <v>0</v>
      </c>
      <c r="AJ63" s="770" t="str">
        <f t="shared" si="17"/>
        <v>대임순예</v>
      </c>
      <c r="AK63" s="770" t="str">
        <f t="shared" si="5"/>
        <v>대공</v>
      </c>
      <c r="AL63" s="772"/>
      <c r="AM63" s="772"/>
    </row>
    <row r="64" spans="1:39" s="773" customFormat="1" ht="24.95" customHeight="1" thickBot="1" x14ac:dyDescent="0.2">
      <c r="A64" s="818">
        <v>57</v>
      </c>
      <c r="B64" s="775" t="s">
        <v>232</v>
      </c>
      <c r="C64" s="1016" t="s">
        <v>342</v>
      </c>
      <c r="D64" s="1016" t="s">
        <v>27</v>
      </c>
      <c r="E64" s="1033">
        <v>18</v>
      </c>
      <c r="F64" s="1033">
        <v>18</v>
      </c>
      <c r="G64" s="779"/>
      <c r="H64" s="1025" t="s">
        <v>342</v>
      </c>
      <c r="I64" s="1025" t="s">
        <v>27</v>
      </c>
      <c r="J64" s="1036">
        <v>18</v>
      </c>
      <c r="K64" s="1036">
        <v>18</v>
      </c>
      <c r="L64" s="1016" t="s">
        <v>352</v>
      </c>
      <c r="M64" s="1016" t="s">
        <v>355</v>
      </c>
      <c r="N64" s="1025" t="s">
        <v>352</v>
      </c>
      <c r="O64" s="1025" t="s">
        <v>355</v>
      </c>
      <c r="P64" s="1116"/>
      <c r="Q64" s="784"/>
      <c r="R64" s="784"/>
      <c r="S64" s="810"/>
      <c r="T64" s="791" t="s">
        <v>79</v>
      </c>
      <c r="U64" s="770">
        <f>COUNTIF(D48:D67,"목")</f>
        <v>1</v>
      </c>
      <c r="V64" s="771">
        <f>COUNTIF(I48:I67,"목")</f>
        <v>1</v>
      </c>
      <c r="W64" s="770" t="s">
        <v>26</v>
      </c>
      <c r="X64" s="770">
        <f>SUMIF(D48:D67,"목",F48:F67)</f>
        <v>42</v>
      </c>
      <c r="Y64" s="771">
        <f>SUMIF(I48:I67,"목",K48:K67)</f>
        <v>42</v>
      </c>
      <c r="Z64" s="770">
        <f>COUNTIF(AJ48:AJ67,"목국")+COUNTIF(AJ48:AJ67,"목공")</f>
        <v>0</v>
      </c>
      <c r="AA64" s="771">
        <f>COUNTIF(AK48:AK67,"목국")+COUNTIF(AK48:AK67,"목공")</f>
        <v>1</v>
      </c>
      <c r="AB64" s="770" t="s">
        <v>26</v>
      </c>
      <c r="AC64" s="770">
        <f>SUMIF(AJ48:AJ67,"목국",F48:F67)+SUMIF(AJ48:AJ67,"목공",F48:F67)</f>
        <v>0</v>
      </c>
      <c r="AD64" s="771">
        <f>SUMIF(AK48:AK67,"목국",K48:K67)+SUMIF(AK48:AK67,"목공",K48:K67)</f>
        <v>42</v>
      </c>
      <c r="AE64" s="770">
        <f t="shared" si="13"/>
        <v>1</v>
      </c>
      <c r="AF64" s="771">
        <f t="shared" si="14"/>
        <v>0</v>
      </c>
      <c r="AG64" s="770" t="s">
        <v>26</v>
      </c>
      <c r="AH64" s="770">
        <f t="shared" si="15"/>
        <v>42</v>
      </c>
      <c r="AI64" s="771">
        <f t="shared" si="16"/>
        <v>0</v>
      </c>
      <c r="AJ64" s="770" t="str">
        <f t="shared" si="17"/>
        <v>전공</v>
      </c>
      <c r="AK64" s="770" t="str">
        <f t="shared" si="5"/>
        <v>전공</v>
      </c>
      <c r="AL64" s="772"/>
      <c r="AM64" s="772"/>
    </row>
    <row r="65" spans="1:39" s="773" customFormat="1" ht="24.95" customHeight="1" x14ac:dyDescent="0.15">
      <c r="A65" s="818">
        <v>58</v>
      </c>
      <c r="B65" s="775" t="s">
        <v>232</v>
      </c>
      <c r="C65" s="1016" t="s">
        <v>359</v>
      </c>
      <c r="D65" s="1016" t="s">
        <v>154</v>
      </c>
      <c r="E65" s="1033">
        <v>1333</v>
      </c>
      <c r="F65" s="1033">
        <v>176</v>
      </c>
      <c r="G65" s="765"/>
      <c r="H65" s="1025" t="s">
        <v>359</v>
      </c>
      <c r="I65" s="1025" t="s">
        <v>154</v>
      </c>
      <c r="J65" s="1036">
        <v>1333</v>
      </c>
      <c r="K65" s="1036">
        <v>176</v>
      </c>
      <c r="L65" s="1016" t="s">
        <v>352</v>
      </c>
      <c r="M65" s="1016" t="s">
        <v>355</v>
      </c>
      <c r="N65" s="1025" t="s">
        <v>352</v>
      </c>
      <c r="O65" s="1025" t="s">
        <v>355</v>
      </c>
      <c r="P65" s="816"/>
      <c r="Q65" s="816"/>
      <c r="R65" s="816"/>
      <c r="S65" s="785"/>
      <c r="T65" s="791"/>
      <c r="U65" s="791"/>
      <c r="V65" s="792"/>
      <c r="W65" s="791"/>
      <c r="X65" s="791"/>
      <c r="Y65" s="792"/>
      <c r="Z65" s="770"/>
      <c r="AA65" s="771"/>
      <c r="AB65" s="791"/>
      <c r="AC65" s="770"/>
      <c r="AD65" s="771"/>
      <c r="AE65" s="791"/>
      <c r="AF65" s="792"/>
      <c r="AG65" s="791"/>
      <c r="AH65" s="791"/>
      <c r="AI65" s="792"/>
      <c r="AJ65" s="770" t="str">
        <f t="shared" si="17"/>
        <v>도공</v>
      </c>
      <c r="AK65" s="770" t="str">
        <f t="shared" si="5"/>
        <v>도공</v>
      </c>
      <c r="AL65" s="772"/>
      <c r="AM65" s="772"/>
    </row>
    <row r="66" spans="1:39" s="773" customFormat="1" ht="24.95" customHeight="1" x14ac:dyDescent="0.15">
      <c r="A66" s="818">
        <v>59</v>
      </c>
      <c r="B66" s="775" t="s">
        <v>232</v>
      </c>
      <c r="C66" s="1016" t="s">
        <v>360</v>
      </c>
      <c r="D66" s="1016" t="s">
        <v>154</v>
      </c>
      <c r="E66" s="1033">
        <v>824</v>
      </c>
      <c r="F66" s="1033">
        <v>226</v>
      </c>
      <c r="G66" s="779"/>
      <c r="H66" s="1025" t="s">
        <v>360</v>
      </c>
      <c r="I66" s="1025" t="s">
        <v>154</v>
      </c>
      <c r="J66" s="1036">
        <v>824</v>
      </c>
      <c r="K66" s="1036">
        <v>226</v>
      </c>
      <c r="L66" s="1016" t="s">
        <v>155</v>
      </c>
      <c r="M66" s="1016" t="s">
        <v>188</v>
      </c>
      <c r="N66" s="1025" t="s">
        <v>155</v>
      </c>
      <c r="O66" s="1025" t="s">
        <v>188</v>
      </c>
      <c r="P66" s="784"/>
      <c r="Q66" s="784"/>
      <c r="R66" s="784"/>
      <c r="S66" s="785"/>
      <c r="T66" s="791"/>
      <c r="U66" s="791"/>
      <c r="V66" s="792"/>
      <c r="W66" s="791"/>
      <c r="X66" s="791"/>
      <c r="Y66" s="792"/>
      <c r="Z66" s="770"/>
      <c r="AA66" s="771"/>
      <c r="AB66" s="791"/>
      <c r="AC66" s="770"/>
      <c r="AD66" s="771"/>
      <c r="AE66" s="791"/>
      <c r="AF66" s="792"/>
      <c r="AG66" s="791"/>
      <c r="AH66" s="791"/>
      <c r="AI66" s="792"/>
      <c r="AJ66" s="770" t="str">
        <f t="shared" si="17"/>
        <v>도국</v>
      </c>
      <c r="AK66" s="770" t="str">
        <f t="shared" si="5"/>
        <v>도국</v>
      </c>
      <c r="AL66" s="772"/>
      <c r="AM66" s="772"/>
    </row>
    <row r="67" spans="1:39" s="773" customFormat="1" ht="24.95" customHeight="1" x14ac:dyDescent="0.15">
      <c r="A67" s="818">
        <v>60</v>
      </c>
      <c r="B67" s="775" t="s">
        <v>232</v>
      </c>
      <c r="C67" s="1016" t="s">
        <v>361</v>
      </c>
      <c r="D67" s="1016" t="s">
        <v>298</v>
      </c>
      <c r="E67" s="1033">
        <v>419</v>
      </c>
      <c r="F67" s="1033">
        <v>419</v>
      </c>
      <c r="G67" s="779"/>
      <c r="H67" s="1025" t="s">
        <v>361</v>
      </c>
      <c r="I67" s="1025" t="s">
        <v>298</v>
      </c>
      <c r="J67" s="1036">
        <v>419</v>
      </c>
      <c r="K67" s="1036">
        <v>419</v>
      </c>
      <c r="L67" s="1016" t="s">
        <v>378</v>
      </c>
      <c r="M67" s="1016" t="s">
        <v>379</v>
      </c>
      <c r="N67" s="1025" t="s">
        <v>660</v>
      </c>
      <c r="O67" s="1025" t="s">
        <v>663</v>
      </c>
      <c r="P67" s="815"/>
      <c r="Q67" s="815"/>
      <c r="R67" s="815"/>
      <c r="S67" s="785"/>
      <c r="T67" s="794" t="s">
        <v>37</v>
      </c>
      <c r="U67" s="794">
        <f>COUNTIF(D48:D67,"철")</f>
        <v>0</v>
      </c>
      <c r="V67" s="795">
        <f>COUNTIF(I48:I67,"철")</f>
        <v>0</v>
      </c>
      <c r="W67" s="794" t="s">
        <v>26</v>
      </c>
      <c r="X67" s="794">
        <f>SUMIF(D48:D67,"철",F48:F67)</f>
        <v>0</v>
      </c>
      <c r="Y67" s="795">
        <f>SUMIF(I48:I67,"철",K48:K67)</f>
        <v>0</v>
      </c>
      <c r="Z67" s="770">
        <f>COUNTIF(AJ48:AJ67,"철국")+COUNTIF(AJ48:AJ67,"철공")</f>
        <v>0</v>
      </c>
      <c r="AA67" s="771">
        <f>COUNTIF(AK48:AK67,"철국")+COUNTIF(AK48:AK67,"철공")</f>
        <v>0</v>
      </c>
      <c r="AB67" s="794" t="s">
        <v>26</v>
      </c>
      <c r="AC67" s="770">
        <f>SUMIF(AJ48:AJ67,"철국",F48:F67)+SUMIF(AJ48:AJ67,"철공",F48:F67)</f>
        <v>0</v>
      </c>
      <c r="AD67" s="771">
        <f>SUMIF(AK48:AK67,"철국",K48:K67)+SUMIF(AK48:AK67,"철공",K48:K67)</f>
        <v>0</v>
      </c>
      <c r="AE67" s="794"/>
      <c r="AF67" s="795"/>
      <c r="AG67" s="794"/>
      <c r="AH67" s="794"/>
      <c r="AI67" s="795"/>
      <c r="AJ67" s="770" t="str">
        <f t="shared" si="17"/>
        <v>임이순효</v>
      </c>
      <c r="AK67" s="770" t="str">
        <f t="shared" si="5"/>
        <v>임공</v>
      </c>
      <c r="AL67" s="772"/>
      <c r="AM67" s="772"/>
    </row>
    <row r="68" spans="1:39" s="755" customFormat="1" ht="24.95" customHeight="1" thickBot="1" x14ac:dyDescent="0.2">
      <c r="A68" s="796" t="s">
        <v>48</v>
      </c>
      <c r="B68" s="797"/>
      <c r="C68" s="797"/>
      <c r="D68" s="797"/>
      <c r="E68" s="797"/>
      <c r="F68" s="798">
        <f>SUM(F48:F67)</f>
        <v>2351</v>
      </c>
      <c r="G68" s="799"/>
      <c r="H68" s="800"/>
      <c r="I68" s="801"/>
      <c r="J68" s="802"/>
      <c r="K68" s="1014">
        <f>SUM(K48:K67)</f>
        <v>2351</v>
      </c>
      <c r="L68" s="803"/>
      <c r="M68" s="803"/>
      <c r="N68" s="804"/>
      <c r="O68" s="804"/>
      <c r="P68" s="803"/>
      <c r="Q68" s="803"/>
      <c r="R68" s="803"/>
      <c r="S68" s="805"/>
      <c r="T68" s="806" t="s">
        <v>24</v>
      </c>
      <c r="U68" s="807">
        <f t="shared" ref="U68:AA68" si="18">SUM(U48:U67)</f>
        <v>20</v>
      </c>
      <c r="V68" s="807">
        <f t="shared" si="18"/>
        <v>20</v>
      </c>
      <c r="W68" s="807">
        <f t="shared" si="18"/>
        <v>0</v>
      </c>
      <c r="X68" s="807">
        <f t="shared" si="18"/>
        <v>2351</v>
      </c>
      <c r="Y68" s="807">
        <f t="shared" si="18"/>
        <v>2351</v>
      </c>
      <c r="Z68" s="822">
        <f t="shared" si="18"/>
        <v>4</v>
      </c>
      <c r="AA68" s="823">
        <f t="shared" si="18"/>
        <v>20</v>
      </c>
      <c r="AB68" s="822" t="s">
        <v>26</v>
      </c>
      <c r="AC68" s="822">
        <f>SUM(AC48:AC67)</f>
        <v>423</v>
      </c>
      <c r="AD68" s="823">
        <f>SUM(AD48:AD67)</f>
        <v>2351</v>
      </c>
      <c r="AE68" s="807">
        <f>SUM(AE48:AE67)</f>
        <v>16</v>
      </c>
      <c r="AF68" s="807">
        <f>SUM(AF48:AF67)</f>
        <v>0</v>
      </c>
      <c r="AG68" s="807" t="s">
        <v>26</v>
      </c>
      <c r="AH68" s="807">
        <f>SUM(AH48:AH67)</f>
        <v>1928</v>
      </c>
      <c r="AI68" s="807">
        <f>SUM(AI48:AI67)</f>
        <v>0</v>
      </c>
      <c r="AJ68" s="807"/>
      <c r="AK68" s="770" t="str">
        <f t="shared" si="5"/>
        <v/>
      </c>
    </row>
    <row r="69" spans="1:39" s="773" customFormat="1" ht="24.95" customHeight="1" x14ac:dyDescent="0.15">
      <c r="A69" s="824">
        <v>61</v>
      </c>
      <c r="B69" s="762" t="s">
        <v>213</v>
      </c>
      <c r="C69" s="1017">
        <v>277</v>
      </c>
      <c r="D69" s="1016" t="s">
        <v>27</v>
      </c>
      <c r="E69" s="1033">
        <v>337</v>
      </c>
      <c r="F69" s="1033">
        <v>337</v>
      </c>
      <c r="G69" s="779"/>
      <c r="H69" s="1028">
        <v>277</v>
      </c>
      <c r="I69" s="1025" t="s">
        <v>27</v>
      </c>
      <c r="J69" s="1036">
        <v>337</v>
      </c>
      <c r="K69" s="1036">
        <v>337</v>
      </c>
      <c r="L69" s="1016" t="s">
        <v>380</v>
      </c>
      <c r="M69" s="1016" t="s">
        <v>381</v>
      </c>
      <c r="N69" s="1025" t="s">
        <v>668</v>
      </c>
      <c r="O69" s="1025" t="s">
        <v>666</v>
      </c>
      <c r="P69" s="784"/>
      <c r="Q69" s="784"/>
      <c r="R69" s="768"/>
      <c r="S69" s="769"/>
      <c r="T69" s="770" t="s">
        <v>27</v>
      </c>
      <c r="U69" s="770">
        <f>COUNTIF(D69:D88,"전")</f>
        <v>6</v>
      </c>
      <c r="V69" s="771">
        <f>COUNTIF(I69:I88,"전")</f>
        <v>5</v>
      </c>
      <c r="W69" s="770" t="s">
        <v>26</v>
      </c>
      <c r="X69" s="770">
        <f>SUMIF(D69:D88,"전",F69:F88)</f>
        <v>951</v>
      </c>
      <c r="Y69" s="771">
        <f>SUMIF(I69:I88,"전",K69:K88)</f>
        <v>919</v>
      </c>
      <c r="Z69" s="770">
        <f>COUNTIF(AJ69:AJ88,"전국")+COUNTIF(AJ69:AJ88,"전공")</f>
        <v>0</v>
      </c>
      <c r="AA69" s="771">
        <f>COUNTIF(AK69:AK88,"전국")+COUNTIF(AK69:AK88,"전공")</f>
        <v>5</v>
      </c>
      <c r="AB69" s="770" t="s">
        <v>26</v>
      </c>
      <c r="AC69" s="770">
        <f>SUMIF(AJ69:AJ88,"전국",F69:F88)+SUMIF(AJ69:AJ88,"전공",F69:F88)</f>
        <v>0</v>
      </c>
      <c r="AD69" s="771">
        <f>SUMIF(AK69:AK88,"전국",K69:K88)+SUMIF(AK69:AK88,"전공",K69:K88)</f>
        <v>919</v>
      </c>
      <c r="AE69" s="770">
        <f t="shared" ref="AE69:AE85" si="19">U69-Z69</f>
        <v>6</v>
      </c>
      <c r="AF69" s="771">
        <f t="shared" ref="AF69:AF85" si="20">V69-AA69</f>
        <v>0</v>
      </c>
      <c r="AG69" s="770" t="s">
        <v>26</v>
      </c>
      <c r="AH69" s="770">
        <f t="shared" ref="AH69:AH85" si="21">X69-AC69</f>
        <v>951</v>
      </c>
      <c r="AI69" s="771">
        <f t="shared" ref="AI69:AI85" si="22">Y69-AD69</f>
        <v>0</v>
      </c>
      <c r="AJ69" s="770" t="str">
        <f t="shared" ref="AJ69:AJ88" si="23">CONCATENATE(D69,L69)</f>
        <v>전이영하</v>
      </c>
      <c r="AK69" s="770" t="str">
        <f t="shared" si="5"/>
        <v>전공</v>
      </c>
    </row>
    <row r="70" spans="1:39" s="773" customFormat="1" ht="24.95" customHeight="1" x14ac:dyDescent="0.15">
      <c r="A70" s="818">
        <v>62</v>
      </c>
      <c r="B70" s="775" t="s">
        <v>232</v>
      </c>
      <c r="C70" s="1016" t="s">
        <v>362</v>
      </c>
      <c r="D70" s="1016" t="s">
        <v>298</v>
      </c>
      <c r="E70" s="1033">
        <v>6376</v>
      </c>
      <c r="F70" s="1033">
        <v>6376</v>
      </c>
      <c r="G70" s="779"/>
      <c r="H70" s="1025" t="s">
        <v>362</v>
      </c>
      <c r="I70" s="1025" t="s">
        <v>298</v>
      </c>
      <c r="J70" s="1036">
        <v>6376</v>
      </c>
      <c r="K70" s="1036">
        <v>6376</v>
      </c>
      <c r="L70" s="1016" t="s">
        <v>378</v>
      </c>
      <c r="M70" s="1016" t="s">
        <v>379</v>
      </c>
      <c r="N70" s="1025" t="s">
        <v>660</v>
      </c>
      <c r="O70" s="1025" t="s">
        <v>663</v>
      </c>
      <c r="P70" s="784"/>
      <c r="Q70" s="784"/>
      <c r="R70" s="784"/>
      <c r="S70" s="785"/>
      <c r="T70" s="770" t="s">
        <v>28</v>
      </c>
      <c r="U70" s="770">
        <f>COUNTIF(D69:D88,"답")</f>
        <v>5</v>
      </c>
      <c r="V70" s="771">
        <f>COUNTIF(I69:I88,"답")</f>
        <v>5</v>
      </c>
      <c r="W70" s="770" t="s">
        <v>26</v>
      </c>
      <c r="X70" s="770">
        <f>SUMIF(D69:D88,"답",F69:F88)</f>
        <v>2727</v>
      </c>
      <c r="Y70" s="771">
        <f>SUMIF(I69:I88,"답",K69:K88)</f>
        <v>2727</v>
      </c>
      <c r="Z70" s="770">
        <f>COUNTIF(AJ69:AJ88,"답국")+COUNTIF(AJ69:AJ88,"답공")</f>
        <v>1</v>
      </c>
      <c r="AA70" s="771">
        <f>COUNTIF(AK69:AK88,"답국")+COUNTIF(AK69:AK88,"답공")</f>
        <v>5</v>
      </c>
      <c r="AB70" s="770" t="s">
        <v>26</v>
      </c>
      <c r="AC70" s="770">
        <f>SUMIF(AJ69:AJ88,"답국",F69:F88)+SUMIF(AJ69:AJ88,"답공",F69:F88)</f>
        <v>11</v>
      </c>
      <c r="AD70" s="771">
        <f>SUMIF(AK69:AK88,"답국",K69:K88)+SUMIF(AK69:AK88,"답공",K69:K88)</f>
        <v>2727</v>
      </c>
      <c r="AE70" s="770">
        <f t="shared" si="19"/>
        <v>4</v>
      </c>
      <c r="AF70" s="771">
        <f t="shared" si="20"/>
        <v>0</v>
      </c>
      <c r="AG70" s="770" t="s">
        <v>26</v>
      </c>
      <c r="AH70" s="770">
        <f t="shared" si="21"/>
        <v>2716</v>
      </c>
      <c r="AI70" s="771">
        <f t="shared" si="22"/>
        <v>0</v>
      </c>
      <c r="AJ70" s="770" t="str">
        <f t="shared" si="23"/>
        <v>임이순효</v>
      </c>
      <c r="AK70" s="770" t="str">
        <f t="shared" si="5"/>
        <v>임공</v>
      </c>
      <c r="AM70" s="772"/>
    </row>
    <row r="71" spans="1:39" s="773" customFormat="1" ht="24.95" customHeight="1" x14ac:dyDescent="0.15">
      <c r="A71" s="818">
        <v>63</v>
      </c>
      <c r="B71" s="775" t="s">
        <v>232</v>
      </c>
      <c r="C71" s="1016" t="s">
        <v>363</v>
      </c>
      <c r="D71" s="1016" t="s">
        <v>298</v>
      </c>
      <c r="E71" s="1033">
        <v>1487</v>
      </c>
      <c r="F71" s="1033">
        <v>1487</v>
      </c>
      <c r="G71" s="779"/>
      <c r="H71" s="1025" t="s">
        <v>363</v>
      </c>
      <c r="I71" s="1025" t="s">
        <v>298</v>
      </c>
      <c r="J71" s="1036">
        <v>1487</v>
      </c>
      <c r="K71" s="1036">
        <v>1487</v>
      </c>
      <c r="L71" s="1016" t="s">
        <v>382</v>
      </c>
      <c r="M71" s="1016" t="s">
        <v>383</v>
      </c>
      <c r="N71" s="1025" t="s">
        <v>664</v>
      </c>
      <c r="O71" s="1025" t="s">
        <v>663</v>
      </c>
      <c r="P71" s="815"/>
      <c r="Q71" s="815"/>
      <c r="R71" s="815"/>
      <c r="S71" s="785"/>
      <c r="T71" s="770" t="s">
        <v>44</v>
      </c>
      <c r="U71" s="770">
        <f>COUNTIF(D69:D88,"임")</f>
        <v>3</v>
      </c>
      <c r="V71" s="771">
        <f>COUNTIF(I69:I88,"임")</f>
        <v>3</v>
      </c>
      <c r="W71" s="770" t="s">
        <v>26</v>
      </c>
      <c r="X71" s="770">
        <f>SUMIF(D69:D88,"임",F69:F88)</f>
        <v>8058</v>
      </c>
      <c r="Y71" s="771">
        <f>SUMIF(I69:I88,"임",K69:K88)</f>
        <v>8058</v>
      </c>
      <c r="Z71" s="770">
        <f>COUNTIF(AJ69:AJ88,"임국")+COUNTIF(AJ69:AJ88,"임공")</f>
        <v>1</v>
      </c>
      <c r="AA71" s="771">
        <f>COUNTIF(AK69:AK88,"임국")+COUNTIF(AK69:AK88,"임공")</f>
        <v>3</v>
      </c>
      <c r="AB71" s="770" t="s">
        <v>26</v>
      </c>
      <c r="AC71" s="770">
        <f>SUMIF(AJ69:AJ88,"임국",F69:F88)+SUMIF(AJ69:AJ88,"임공",F69:F88)</f>
        <v>195</v>
      </c>
      <c r="AD71" s="771">
        <f>SUMIF(AK69:AK88,"임국",K69:K88)+SUMIF(AK69:AK88,"임공",K69:K88)</f>
        <v>8058</v>
      </c>
      <c r="AE71" s="770">
        <f t="shared" si="19"/>
        <v>2</v>
      </c>
      <c r="AF71" s="771">
        <f t="shared" si="20"/>
        <v>0</v>
      </c>
      <c r="AG71" s="770" t="s">
        <v>26</v>
      </c>
      <c r="AH71" s="770">
        <f t="shared" si="21"/>
        <v>7863</v>
      </c>
      <c r="AI71" s="771">
        <f t="shared" si="22"/>
        <v>0</v>
      </c>
      <c r="AJ71" s="770" t="str">
        <f t="shared" si="23"/>
        <v>임김찬순</v>
      </c>
      <c r="AK71" s="770" t="str">
        <f t="shared" ref="AK71:AK134" si="24">CONCATENATE(I71,N71)</f>
        <v>임공</v>
      </c>
      <c r="AL71" s="772"/>
      <c r="AM71" s="772"/>
    </row>
    <row r="72" spans="1:39" s="773" customFormat="1" ht="24.95" customHeight="1" x14ac:dyDescent="0.15">
      <c r="A72" s="818">
        <v>64</v>
      </c>
      <c r="B72" s="775" t="s">
        <v>232</v>
      </c>
      <c r="C72" s="1016" t="s">
        <v>364</v>
      </c>
      <c r="D72" s="1016" t="s">
        <v>298</v>
      </c>
      <c r="E72" s="1033">
        <v>274</v>
      </c>
      <c r="F72" s="1033">
        <v>195</v>
      </c>
      <c r="G72" s="779"/>
      <c r="H72" s="1025" t="s">
        <v>364</v>
      </c>
      <c r="I72" s="1025" t="s">
        <v>298</v>
      </c>
      <c r="J72" s="1036">
        <v>274</v>
      </c>
      <c r="K72" s="1036">
        <v>195</v>
      </c>
      <c r="L72" s="1016" t="s">
        <v>352</v>
      </c>
      <c r="M72" s="1016" t="s">
        <v>355</v>
      </c>
      <c r="N72" s="1025" t="s">
        <v>352</v>
      </c>
      <c r="O72" s="1025" t="s">
        <v>355</v>
      </c>
      <c r="P72" s="809"/>
      <c r="Q72" s="809"/>
      <c r="R72" s="784"/>
      <c r="S72" s="785"/>
      <c r="T72" s="770" t="s">
        <v>45</v>
      </c>
      <c r="U72" s="770">
        <f>COUNTIF(D69:D88,"대")</f>
        <v>6</v>
      </c>
      <c r="V72" s="771">
        <f>COUNTIF(I69:I88,"대")</f>
        <v>4</v>
      </c>
      <c r="W72" s="770" t="s">
        <v>26</v>
      </c>
      <c r="X72" s="770">
        <f>SUMIF(D69:D88,"대",F69:F88)</f>
        <v>677</v>
      </c>
      <c r="Y72" s="771">
        <f>SUMIF(I69:I88,"대",K69:K88)</f>
        <v>241</v>
      </c>
      <c r="Z72" s="770">
        <f>COUNTIF(AJ69:AJ88,"대국")+COUNTIF(AJ69:AJ88,"대공")</f>
        <v>0</v>
      </c>
      <c r="AA72" s="771">
        <f>COUNTIF(AK69:AK88,"대국")+COUNTIF(AK69:AK88,"대공")</f>
        <v>4</v>
      </c>
      <c r="AB72" s="770" t="s">
        <v>26</v>
      </c>
      <c r="AC72" s="770">
        <f>SUMIF(AJ69:AJ88,"대국",F69:F88)+SUMIF(AJ69:AJ88,"대공",F69:F88)</f>
        <v>0</v>
      </c>
      <c r="AD72" s="771">
        <f>SUMIF(AK69:AK88,"대국",K69:K88)+SUMIF(AK69:AK88,"대공",K69:K88)</f>
        <v>241</v>
      </c>
      <c r="AE72" s="770">
        <f t="shared" si="19"/>
        <v>6</v>
      </c>
      <c r="AF72" s="771">
        <f t="shared" si="20"/>
        <v>0</v>
      </c>
      <c r="AG72" s="770" t="s">
        <v>26</v>
      </c>
      <c r="AH72" s="770">
        <f t="shared" si="21"/>
        <v>677</v>
      </c>
      <c r="AI72" s="771">
        <f t="shared" si="22"/>
        <v>0</v>
      </c>
      <c r="AJ72" s="770" t="str">
        <f t="shared" si="23"/>
        <v>임공</v>
      </c>
      <c r="AK72" s="770" t="str">
        <f t="shared" si="24"/>
        <v>임공</v>
      </c>
      <c r="AL72" s="772"/>
      <c r="AM72" s="772"/>
    </row>
    <row r="73" spans="1:39" s="773" customFormat="1" ht="24.95" customHeight="1" x14ac:dyDescent="0.15">
      <c r="A73" s="818">
        <v>65</v>
      </c>
      <c r="B73" s="775" t="s">
        <v>232</v>
      </c>
      <c r="C73" s="1016" t="s">
        <v>366</v>
      </c>
      <c r="D73" s="1016" t="s">
        <v>27</v>
      </c>
      <c r="E73" s="1033">
        <v>40</v>
      </c>
      <c r="F73" s="1033">
        <v>40</v>
      </c>
      <c r="G73" s="830"/>
      <c r="H73" s="1025" t="s">
        <v>366</v>
      </c>
      <c r="I73" s="1025" t="s">
        <v>27</v>
      </c>
      <c r="J73" s="1036">
        <v>40</v>
      </c>
      <c r="K73" s="1036">
        <v>40</v>
      </c>
      <c r="L73" s="1016" t="s">
        <v>386</v>
      </c>
      <c r="M73" s="1016" t="s">
        <v>387</v>
      </c>
      <c r="N73" s="1025" t="s">
        <v>661</v>
      </c>
      <c r="O73" s="1025" t="s">
        <v>662</v>
      </c>
      <c r="P73" s="784"/>
      <c r="Q73" s="784"/>
      <c r="R73" s="784"/>
      <c r="S73" s="785"/>
      <c r="T73" s="770" t="s">
        <v>31</v>
      </c>
      <c r="U73" s="770">
        <f>COUNTIF(D69:D88,"도")</f>
        <v>0</v>
      </c>
      <c r="V73" s="771">
        <f>COUNTIF(I69:I88,"도")</f>
        <v>0</v>
      </c>
      <c r="W73" s="770" t="s">
        <v>26</v>
      </c>
      <c r="X73" s="770">
        <f>SUMIF(D69:D88,"도",F69:F88)</f>
        <v>0</v>
      </c>
      <c r="Y73" s="771">
        <f>SUMIF(I69:I88,"도",K69:K88)</f>
        <v>0</v>
      </c>
      <c r="Z73" s="770">
        <f>COUNTIF(AJ69:AJ88,"도국")+COUNTIF(AJ69:AJ88,"도공")</f>
        <v>0</v>
      </c>
      <c r="AA73" s="771">
        <f>COUNTIF(AK69:AK88,"도국")+COUNTIF(AK69:AK88,"도공")</f>
        <v>0</v>
      </c>
      <c r="AB73" s="770" t="s">
        <v>26</v>
      </c>
      <c r="AC73" s="770">
        <f>SUMIF(AJ69:AJ88,"도국",F69:F88)+SUMIF(AJ69:AJ88,"도공",F69:F88)</f>
        <v>0</v>
      </c>
      <c r="AD73" s="771">
        <f>SUMIF(AK69:AK88,"도국",K69:K88)+SUMIF(AK69:AK88,"도공",K69:K88)</f>
        <v>0</v>
      </c>
      <c r="AE73" s="770">
        <f t="shared" si="19"/>
        <v>0</v>
      </c>
      <c r="AF73" s="771">
        <f t="shared" si="20"/>
        <v>0</v>
      </c>
      <c r="AG73" s="770" t="s">
        <v>26</v>
      </c>
      <c r="AH73" s="770">
        <f t="shared" si="21"/>
        <v>0</v>
      </c>
      <c r="AI73" s="771">
        <f t="shared" si="22"/>
        <v>0</v>
      </c>
      <c r="AJ73" s="770" t="str">
        <f t="shared" si="23"/>
        <v>전김현희</v>
      </c>
      <c r="AK73" s="770" t="str">
        <f t="shared" si="24"/>
        <v>전공</v>
      </c>
      <c r="AL73" s="772"/>
      <c r="AM73" s="772"/>
    </row>
    <row r="74" spans="1:39" s="773" customFormat="1" ht="24.95" customHeight="1" x14ac:dyDescent="0.15">
      <c r="A74" s="818">
        <v>66</v>
      </c>
      <c r="B74" s="775" t="s">
        <v>232</v>
      </c>
      <c r="C74" s="1016" t="s">
        <v>367</v>
      </c>
      <c r="D74" s="1016" t="s">
        <v>27</v>
      </c>
      <c r="E74" s="1033">
        <v>87</v>
      </c>
      <c r="F74" s="1033">
        <v>87</v>
      </c>
      <c r="G74" s="779"/>
      <c r="H74" s="1025" t="s">
        <v>367</v>
      </c>
      <c r="I74" s="1025" t="s">
        <v>27</v>
      </c>
      <c r="J74" s="1036">
        <v>87</v>
      </c>
      <c r="K74" s="1036">
        <v>87</v>
      </c>
      <c r="L74" s="1016" t="s">
        <v>388</v>
      </c>
      <c r="M74" s="1016" t="s">
        <v>404</v>
      </c>
      <c r="N74" s="1025" t="s">
        <v>660</v>
      </c>
      <c r="O74" s="1025" t="s">
        <v>663</v>
      </c>
      <c r="P74" s="815"/>
      <c r="Q74" s="815"/>
      <c r="R74" s="815"/>
      <c r="S74" s="785"/>
      <c r="T74" s="770" t="s">
        <v>32</v>
      </c>
      <c r="U74" s="786">
        <f>COUNTIF(D69:D88,"천")</f>
        <v>0</v>
      </c>
      <c r="V74" s="787">
        <f>COUNTIF(I69:I88,"천")</f>
        <v>0</v>
      </c>
      <c r="W74" s="770" t="s">
        <v>26</v>
      </c>
      <c r="X74" s="770">
        <f>SUMIF(D69:D88,"천",F69:F88)</f>
        <v>0</v>
      </c>
      <c r="Y74" s="771">
        <f>SUMIF(I69:I88,"천",K69:K88)</f>
        <v>0</v>
      </c>
      <c r="Z74" s="770">
        <f>COUNTIF(AJ69:AJ88,"천국")+COUNTIF(AJ69:AJ88,"천공")</f>
        <v>0</v>
      </c>
      <c r="AA74" s="771">
        <f>COUNTIF(AK69:AK88,"천국")+COUNTIF(AK69:AK88,"천공")</f>
        <v>0</v>
      </c>
      <c r="AB74" s="770" t="s">
        <v>26</v>
      </c>
      <c r="AC74" s="770">
        <f>SUMIF(AJ69:AJ88,"천국",F69:F88)+SUMIF(AJ69:AJ88,"천공",F69:F88)</f>
        <v>0</v>
      </c>
      <c r="AD74" s="771">
        <f>SUMIF(AK69:AK88,"천국",K69:K88)+SUMIF(AK69:AK88,"천공",K69:K88)</f>
        <v>0</v>
      </c>
      <c r="AE74" s="770">
        <f t="shared" si="19"/>
        <v>0</v>
      </c>
      <c r="AF74" s="771">
        <f t="shared" si="20"/>
        <v>0</v>
      </c>
      <c r="AG74" s="770" t="s">
        <v>26</v>
      </c>
      <c r="AH74" s="770">
        <f t="shared" si="21"/>
        <v>0</v>
      </c>
      <c r="AI74" s="771">
        <f t="shared" si="22"/>
        <v>0</v>
      </c>
      <c r="AJ74" s="770" t="str">
        <f t="shared" si="23"/>
        <v>전남봉순</v>
      </c>
      <c r="AK74" s="770" t="str">
        <f t="shared" si="24"/>
        <v>전공</v>
      </c>
      <c r="AL74" s="772"/>
      <c r="AM74" s="772"/>
    </row>
    <row r="75" spans="1:39" s="773" customFormat="1" ht="24.95" customHeight="1" x14ac:dyDescent="0.15">
      <c r="A75" s="818">
        <v>67</v>
      </c>
      <c r="B75" s="775" t="s">
        <v>232</v>
      </c>
      <c r="C75" s="1016" t="s">
        <v>368</v>
      </c>
      <c r="D75" s="1016" t="s">
        <v>27</v>
      </c>
      <c r="E75" s="1033">
        <v>110</v>
      </c>
      <c r="F75" s="1033">
        <v>110</v>
      </c>
      <c r="G75" s="779"/>
      <c r="H75" s="1025" t="s">
        <v>368</v>
      </c>
      <c r="I75" s="1025" t="s">
        <v>27</v>
      </c>
      <c r="J75" s="1036">
        <v>110</v>
      </c>
      <c r="K75" s="1036">
        <v>110</v>
      </c>
      <c r="L75" s="1016" t="s">
        <v>389</v>
      </c>
      <c r="M75" s="1024" t="s">
        <v>405</v>
      </c>
      <c r="N75" s="1025" t="s">
        <v>660</v>
      </c>
      <c r="O75" s="1026" t="s">
        <v>663</v>
      </c>
      <c r="P75" s="809"/>
      <c r="Q75" s="809"/>
      <c r="R75" s="809"/>
      <c r="S75" s="785"/>
      <c r="T75" s="770" t="s">
        <v>33</v>
      </c>
      <c r="U75" s="770">
        <f>COUNTIF(D69:D88,"구")</f>
        <v>0</v>
      </c>
      <c r="V75" s="771">
        <f>COUNTIF(I69:I88,"구")</f>
        <v>0</v>
      </c>
      <c r="W75" s="770" t="s">
        <v>26</v>
      </c>
      <c r="X75" s="770">
        <f>SUMIF(D69:D88,"구",F69:F88)</f>
        <v>0</v>
      </c>
      <c r="Y75" s="771">
        <f>SUMIF(I69:I88,"구",K69:K88)</f>
        <v>0</v>
      </c>
      <c r="Z75" s="770">
        <f>COUNTIF(AJ69:AJ88,"구국")+COUNTIF(AJ69:AJ88,"구공")</f>
        <v>0</v>
      </c>
      <c r="AA75" s="771">
        <f>COUNTIF(AK69:AK88,"구국")+COUNTIF(AK69:AK88,"구공")</f>
        <v>0</v>
      </c>
      <c r="AB75" s="770" t="s">
        <v>26</v>
      </c>
      <c r="AC75" s="770">
        <f>SUMIF(AJ69:AJ88,"구국",F69:F88)+SUMIF(AJ69:AJ88,"구공",F69:F88)</f>
        <v>0</v>
      </c>
      <c r="AD75" s="771">
        <f>SUMIF(AK69:AK88,"구국",K69:K88)+SUMIF(AK69:AK88,"구공",K69:K88)</f>
        <v>0</v>
      </c>
      <c r="AE75" s="770">
        <f t="shared" si="19"/>
        <v>0</v>
      </c>
      <c r="AF75" s="771">
        <f t="shared" si="20"/>
        <v>0</v>
      </c>
      <c r="AG75" s="770" t="s">
        <v>26</v>
      </c>
      <c r="AH75" s="770">
        <f t="shared" si="21"/>
        <v>0</v>
      </c>
      <c r="AI75" s="771">
        <f t="shared" si="22"/>
        <v>0</v>
      </c>
      <c r="AJ75" s="770" t="str">
        <f t="shared" si="23"/>
        <v>전이상복외 1인</v>
      </c>
      <c r="AK75" s="770" t="str">
        <f t="shared" si="24"/>
        <v>전공</v>
      </c>
      <c r="AL75" s="772"/>
      <c r="AM75" s="772"/>
    </row>
    <row r="76" spans="1:39" s="773" customFormat="1" ht="24.95" customHeight="1" x14ac:dyDescent="0.15">
      <c r="A76" s="818">
        <v>68</v>
      </c>
      <c r="B76" s="775"/>
      <c r="C76" s="1016" t="s">
        <v>369</v>
      </c>
      <c r="D76" s="1016" t="s">
        <v>156</v>
      </c>
      <c r="E76" s="1033">
        <v>83</v>
      </c>
      <c r="F76" s="1033">
        <v>83</v>
      </c>
      <c r="G76" s="779"/>
      <c r="H76" s="1025" t="s">
        <v>369</v>
      </c>
      <c r="I76" s="1025" t="s">
        <v>156</v>
      </c>
      <c r="J76" s="1036">
        <v>83</v>
      </c>
      <c r="K76" s="1036">
        <v>83</v>
      </c>
      <c r="L76" s="1016" t="s">
        <v>390</v>
      </c>
      <c r="M76" s="1016" t="s">
        <v>391</v>
      </c>
      <c r="N76" s="1025" t="s">
        <v>660</v>
      </c>
      <c r="O76" s="1025" t="s">
        <v>663</v>
      </c>
      <c r="P76" s="784"/>
      <c r="Q76" s="784"/>
      <c r="R76" s="784"/>
      <c r="S76" s="785"/>
      <c r="T76" s="770" t="s">
        <v>34</v>
      </c>
      <c r="U76" s="770">
        <f>COUNTIF(D69:D88,"제")</f>
        <v>0</v>
      </c>
      <c r="V76" s="771">
        <f>COUNTIF(I69:I88,"제")</f>
        <v>0</v>
      </c>
      <c r="W76" s="770" t="s">
        <v>26</v>
      </c>
      <c r="X76" s="770">
        <f>SUMIF(D69:D88,"제",F69:F88)</f>
        <v>0</v>
      </c>
      <c r="Y76" s="771">
        <f>SUMIF(I69:I88,"제",K69:K88)</f>
        <v>0</v>
      </c>
      <c r="Z76" s="770">
        <f>COUNTIF(AJ69:AJ88,"제국")+COUNTIF(AJ69:AJ88,"제공")</f>
        <v>0</v>
      </c>
      <c r="AA76" s="771">
        <f>COUNTIF(AK69:AK88,"제국")+COUNTIF(AK69:AK88,"제공")</f>
        <v>0</v>
      </c>
      <c r="AB76" s="770" t="s">
        <v>26</v>
      </c>
      <c r="AC76" s="770">
        <f>SUMIF(AJ69:AJ88,"제국",F69:F88)+SUMIF(AJ69:AJ88,"제공",F69:F88)</f>
        <v>0</v>
      </c>
      <c r="AD76" s="771">
        <f>SUMIF(AK69:AK88,"제국",K69:K88)+SUMIF(AK69:AK88,"제공",K69:K88)</f>
        <v>0</v>
      </c>
      <c r="AE76" s="770">
        <f t="shared" si="19"/>
        <v>0</v>
      </c>
      <c r="AF76" s="771">
        <f t="shared" si="20"/>
        <v>0</v>
      </c>
      <c r="AG76" s="770" t="s">
        <v>26</v>
      </c>
      <c r="AH76" s="770">
        <f t="shared" si="21"/>
        <v>0</v>
      </c>
      <c r="AI76" s="771">
        <f t="shared" si="22"/>
        <v>0</v>
      </c>
      <c r="AJ76" s="770" t="str">
        <f t="shared" si="23"/>
        <v>대박춘자</v>
      </c>
      <c r="AK76" s="770" t="str">
        <f t="shared" si="24"/>
        <v>대공</v>
      </c>
      <c r="AL76" s="772"/>
      <c r="AM76" s="772"/>
    </row>
    <row r="77" spans="1:39" s="773" customFormat="1" ht="24.95" customHeight="1" x14ac:dyDescent="0.15">
      <c r="A77" s="818">
        <v>69</v>
      </c>
      <c r="B77" s="775" t="s">
        <v>232</v>
      </c>
      <c r="C77" s="1016" t="s">
        <v>370</v>
      </c>
      <c r="D77" s="1016" t="s">
        <v>156</v>
      </c>
      <c r="E77" s="1033">
        <v>79</v>
      </c>
      <c r="F77" s="1033">
        <v>79</v>
      </c>
      <c r="G77" s="779"/>
      <c r="H77" s="1025" t="s">
        <v>370</v>
      </c>
      <c r="I77" s="1025" t="s">
        <v>156</v>
      </c>
      <c r="J77" s="1036">
        <v>79</v>
      </c>
      <c r="K77" s="1036">
        <v>79</v>
      </c>
      <c r="L77" s="1016" t="s">
        <v>347</v>
      </c>
      <c r="M77" s="1016" t="s">
        <v>392</v>
      </c>
      <c r="N77" s="1025" t="s">
        <v>660</v>
      </c>
      <c r="O77" s="1025" t="s">
        <v>663</v>
      </c>
      <c r="P77" s="825"/>
      <c r="Q77" s="825"/>
      <c r="R77" s="825"/>
      <c r="S77" s="785"/>
      <c r="T77" s="770" t="s">
        <v>46</v>
      </c>
      <c r="U77" s="770">
        <f>COUNTIF(D69:D88,"유")</f>
        <v>0</v>
      </c>
      <c r="V77" s="771">
        <f>COUNTIF(I69:I88,"유")</f>
        <v>0</v>
      </c>
      <c r="W77" s="770" t="s">
        <v>26</v>
      </c>
      <c r="X77" s="770">
        <f>SUMIF(D69:D88,"유",F69:F88)</f>
        <v>0</v>
      </c>
      <c r="Y77" s="771">
        <f>SUMIF(I69:I88,"유",K69:K88)</f>
        <v>0</v>
      </c>
      <c r="Z77" s="770">
        <f>COUNTIF(AJ69:AJ88,"유국")+COUNTIF(AJ69:AJ88,"유공")</f>
        <v>0</v>
      </c>
      <c r="AA77" s="771">
        <f>COUNTIF(AK69:AK88,"유국")+COUNTIF(AK69:AK88,"유공")</f>
        <v>0</v>
      </c>
      <c r="AB77" s="770" t="s">
        <v>26</v>
      </c>
      <c r="AC77" s="770">
        <f>SUMIF(AJ69:AJ88,"유국",F69:F88)+SUMIF(AJ69:AJ88,"유공",F69:F88)</f>
        <v>0</v>
      </c>
      <c r="AD77" s="771">
        <f>SUMIF(AK69:AK88,"유국",K69:K88)+SUMIF(AK69:AK88,"유공",K69:K88)</f>
        <v>0</v>
      </c>
      <c r="AE77" s="770">
        <f t="shared" si="19"/>
        <v>0</v>
      </c>
      <c r="AF77" s="771">
        <f t="shared" si="20"/>
        <v>0</v>
      </c>
      <c r="AG77" s="770" t="s">
        <v>26</v>
      </c>
      <c r="AH77" s="770">
        <f t="shared" si="21"/>
        <v>0</v>
      </c>
      <c r="AI77" s="771">
        <f t="shared" si="22"/>
        <v>0</v>
      </c>
      <c r="AJ77" s="770" t="str">
        <f t="shared" si="23"/>
        <v>대고광춘</v>
      </c>
      <c r="AK77" s="770" t="str">
        <f t="shared" si="24"/>
        <v>대공</v>
      </c>
      <c r="AL77" s="772"/>
      <c r="AM77" s="772"/>
    </row>
    <row r="78" spans="1:39" s="773" customFormat="1" ht="24.95" customHeight="1" x14ac:dyDescent="0.15">
      <c r="A78" s="818">
        <v>70</v>
      </c>
      <c r="B78" s="775" t="s">
        <v>232</v>
      </c>
      <c r="C78" s="1016" t="s">
        <v>371</v>
      </c>
      <c r="D78" s="1016" t="s">
        <v>156</v>
      </c>
      <c r="E78" s="1033">
        <v>45</v>
      </c>
      <c r="F78" s="1033">
        <v>45</v>
      </c>
      <c r="G78" s="779"/>
      <c r="H78" s="1025" t="s">
        <v>371</v>
      </c>
      <c r="I78" s="1025" t="s">
        <v>156</v>
      </c>
      <c r="J78" s="1036">
        <v>45</v>
      </c>
      <c r="K78" s="1036">
        <v>45</v>
      </c>
      <c r="L78" s="1016" t="s">
        <v>393</v>
      </c>
      <c r="M78" s="1016" t="s">
        <v>394</v>
      </c>
      <c r="N78" s="1025" t="s">
        <v>660</v>
      </c>
      <c r="O78" s="1025" t="s">
        <v>663</v>
      </c>
      <c r="P78" s="815"/>
      <c r="Q78" s="815"/>
      <c r="R78" s="815"/>
      <c r="S78" s="785"/>
      <c r="T78" s="770" t="s">
        <v>47</v>
      </c>
      <c r="U78" s="770">
        <f>COUNTIF(D69:D88,"과")</f>
        <v>0</v>
      </c>
      <c r="V78" s="771">
        <f>COUNTIF(I69:I88,"과")</f>
        <v>0</v>
      </c>
      <c r="W78" s="770" t="s">
        <v>26</v>
      </c>
      <c r="X78" s="770">
        <f>SUMIF(D69:D88,"과",F69:F88)</f>
        <v>0</v>
      </c>
      <c r="Y78" s="771">
        <f>SUMIF(I69:I88,"과",K69:K88)</f>
        <v>0</v>
      </c>
      <c r="Z78" s="770">
        <f>COUNTIF(AJ69:AJ88,"과국")+COUNTIF(AJ69:AJ88,"과공")</f>
        <v>0</v>
      </c>
      <c r="AA78" s="771">
        <f>COUNTIF(AK69:AK88,"과국")+COUNTIF(AK69:AK88,"과공")</f>
        <v>0</v>
      </c>
      <c r="AB78" s="770" t="s">
        <v>26</v>
      </c>
      <c r="AC78" s="770">
        <f>SUMIF(AJ69:AJ88,"과국",F69:F88)+SUMIF(AJ69:AJ88,"과공",F69:F88)</f>
        <v>0</v>
      </c>
      <c r="AD78" s="771">
        <f>SUMIF(AK69:AK88,"과국",K69:K88)+SUMIF(AK69:AK88,"과공",K69:K88)</f>
        <v>0</v>
      </c>
      <c r="AE78" s="770">
        <f t="shared" si="19"/>
        <v>0</v>
      </c>
      <c r="AF78" s="771">
        <f t="shared" si="20"/>
        <v>0</v>
      </c>
      <c r="AG78" s="770" t="s">
        <v>26</v>
      </c>
      <c r="AH78" s="770">
        <f t="shared" si="21"/>
        <v>0</v>
      </c>
      <c r="AI78" s="771">
        <f t="shared" si="22"/>
        <v>0</v>
      </c>
      <c r="AJ78" s="770" t="str">
        <f t="shared" si="23"/>
        <v>대강신경외 1인</v>
      </c>
      <c r="AK78" s="770" t="str">
        <f t="shared" si="24"/>
        <v>대공</v>
      </c>
      <c r="AL78" s="772"/>
      <c r="AM78" s="772"/>
    </row>
    <row r="79" spans="1:39" s="773" customFormat="1" ht="24.95" customHeight="1" x14ac:dyDescent="0.15">
      <c r="A79" s="818">
        <v>71</v>
      </c>
      <c r="B79" s="775" t="s">
        <v>232</v>
      </c>
      <c r="C79" s="1016" t="s">
        <v>372</v>
      </c>
      <c r="D79" s="1016" t="s">
        <v>156</v>
      </c>
      <c r="E79" s="1033">
        <v>34</v>
      </c>
      <c r="F79" s="1033">
        <v>34</v>
      </c>
      <c r="G79" s="779"/>
      <c r="H79" s="1025" t="s">
        <v>372</v>
      </c>
      <c r="I79" s="1025" t="s">
        <v>156</v>
      </c>
      <c r="J79" s="1036">
        <v>34</v>
      </c>
      <c r="K79" s="1036">
        <v>34</v>
      </c>
      <c r="L79" s="1016" t="s">
        <v>395</v>
      </c>
      <c r="M79" s="1016" t="s">
        <v>396</v>
      </c>
      <c r="N79" s="1025" t="s">
        <v>660</v>
      </c>
      <c r="O79" s="1025" t="s">
        <v>663</v>
      </c>
      <c r="P79" s="832"/>
      <c r="Q79" s="832"/>
      <c r="R79" s="832"/>
      <c r="S79" s="785"/>
      <c r="T79" s="770" t="s">
        <v>36</v>
      </c>
      <c r="U79" s="770">
        <f>COUNTIF(D69:D88,"묘")</f>
        <v>0</v>
      </c>
      <c r="V79" s="771">
        <f>COUNTIF(I69:I88,"묘")</f>
        <v>0</v>
      </c>
      <c r="W79" s="770" t="s">
        <v>26</v>
      </c>
      <c r="X79" s="770">
        <f>SUMIF(D69:D88,"묘",F69:F88)</f>
        <v>0</v>
      </c>
      <c r="Y79" s="771">
        <f>SUMIF(I69:I88,"묘",K69:K88)</f>
        <v>0</v>
      </c>
      <c r="Z79" s="770">
        <f>COUNTIF(AJ69:AJ88,"묘국")+COUNTIF(AJ69:AJ88,"묘공")</f>
        <v>0</v>
      </c>
      <c r="AA79" s="771">
        <f>COUNTIF(AK69:AK88,"묘국")+COUNTIF(AK69:AK88,"묘공")</f>
        <v>0</v>
      </c>
      <c r="AB79" s="770" t="s">
        <v>26</v>
      </c>
      <c r="AC79" s="770">
        <f>SUMIF(AJ69:AJ88,"묘국",F69:F88)+SUMIF(AJ69:AJ88,"묘공",F69:F88)</f>
        <v>0</v>
      </c>
      <c r="AD79" s="771">
        <f>SUMIF(AK69:AK88,"묘국",K69:K88)+SUMIF(AK69:AK88,"묘공",K69:K88)</f>
        <v>0</v>
      </c>
      <c r="AE79" s="770">
        <f t="shared" si="19"/>
        <v>0</v>
      </c>
      <c r="AF79" s="771">
        <f t="shared" si="20"/>
        <v>0</v>
      </c>
      <c r="AG79" s="770" t="s">
        <v>26</v>
      </c>
      <c r="AH79" s="770">
        <f t="shared" si="21"/>
        <v>0</v>
      </c>
      <c r="AI79" s="771">
        <f t="shared" si="22"/>
        <v>0</v>
      </c>
      <c r="AJ79" s="770" t="str">
        <f t="shared" si="23"/>
        <v>대이훤수 외2인</v>
      </c>
      <c r="AK79" s="770" t="str">
        <f t="shared" si="24"/>
        <v>대공</v>
      </c>
      <c r="AL79" s="772"/>
      <c r="AM79" s="772"/>
    </row>
    <row r="80" spans="1:39" s="773" customFormat="1" ht="24.95" customHeight="1" x14ac:dyDescent="0.15">
      <c r="A80" s="818">
        <v>72</v>
      </c>
      <c r="B80" s="775" t="s">
        <v>232</v>
      </c>
      <c r="C80" s="1016" t="s">
        <v>373</v>
      </c>
      <c r="D80" s="1016" t="s">
        <v>27</v>
      </c>
      <c r="E80" s="1033">
        <v>345</v>
      </c>
      <c r="F80" s="1033">
        <v>345</v>
      </c>
      <c r="G80" s="779"/>
      <c r="H80" s="1025" t="s">
        <v>373</v>
      </c>
      <c r="I80" s="1025" t="s">
        <v>27</v>
      </c>
      <c r="J80" s="1036">
        <v>345</v>
      </c>
      <c r="K80" s="1036">
        <v>345</v>
      </c>
      <c r="L80" s="1016" t="s">
        <v>397</v>
      </c>
      <c r="M80" s="1016" t="s">
        <v>398</v>
      </c>
      <c r="N80" s="1025" t="s">
        <v>660</v>
      </c>
      <c r="O80" s="1025" t="s">
        <v>663</v>
      </c>
      <c r="P80" s="815"/>
      <c r="Q80" s="815"/>
      <c r="R80" s="815"/>
      <c r="S80" s="785"/>
      <c r="T80" s="770" t="s">
        <v>39</v>
      </c>
      <c r="U80" s="770">
        <f>COUNTIF(D69:D88,"수")</f>
        <v>0</v>
      </c>
      <c r="V80" s="771">
        <f>COUNTIF(I69:I88,"수")</f>
        <v>0</v>
      </c>
      <c r="W80" s="770" t="s">
        <v>26</v>
      </c>
      <c r="X80" s="770">
        <f>SUMIF(D69:D88,"수",F69:F88)</f>
        <v>0</v>
      </c>
      <c r="Y80" s="771">
        <f>SUMIF(I69:I88,"수",K69:K88)</f>
        <v>0</v>
      </c>
      <c r="Z80" s="770">
        <f>COUNTIF(AJ69:AJ88,"수국")+COUNTIF(AJ69:AJ88,"수공")</f>
        <v>0</v>
      </c>
      <c r="AA80" s="771">
        <f>COUNTIF(AK69:AK88,"수국")+COUNTIF(AK69:AK88,"수공")</f>
        <v>0</v>
      </c>
      <c r="AB80" s="770" t="s">
        <v>26</v>
      </c>
      <c r="AC80" s="770">
        <f>SUMIF(AJ69:AJ88,"수국",F69:F88)+SUMIF(AJ69:AJ88,"수공",F69:F88)</f>
        <v>0</v>
      </c>
      <c r="AD80" s="771">
        <f>SUMIF(AK69:AK88,"수국",K69:K88)+SUMIF(AK69:AK88,"수공",K69:K88)</f>
        <v>0</v>
      </c>
      <c r="AE80" s="770">
        <f t="shared" si="19"/>
        <v>0</v>
      </c>
      <c r="AF80" s="771">
        <f t="shared" si="20"/>
        <v>0</v>
      </c>
      <c r="AG80" s="770" t="s">
        <v>26</v>
      </c>
      <c r="AH80" s="770">
        <f t="shared" si="21"/>
        <v>0</v>
      </c>
      <c r="AI80" s="771">
        <f t="shared" si="22"/>
        <v>0</v>
      </c>
      <c r="AJ80" s="770" t="str">
        <f t="shared" si="23"/>
        <v>전고광록</v>
      </c>
      <c r="AK80" s="770" t="str">
        <f t="shared" si="24"/>
        <v>전공</v>
      </c>
      <c r="AL80" s="772"/>
      <c r="AM80" s="772"/>
    </row>
    <row r="81" spans="1:39" s="773" customFormat="1" ht="24.95" customHeight="1" x14ac:dyDescent="0.15">
      <c r="A81" s="818">
        <v>73</v>
      </c>
      <c r="B81" s="775" t="s">
        <v>232</v>
      </c>
      <c r="C81" s="1016" t="s">
        <v>374</v>
      </c>
      <c r="D81" s="1016" t="s">
        <v>28</v>
      </c>
      <c r="E81" s="1033">
        <v>318</v>
      </c>
      <c r="F81" s="1033">
        <v>318</v>
      </c>
      <c r="G81" s="779"/>
      <c r="H81" s="1025" t="s">
        <v>374</v>
      </c>
      <c r="I81" s="1025" t="s">
        <v>28</v>
      </c>
      <c r="J81" s="1036">
        <v>318</v>
      </c>
      <c r="K81" s="1036">
        <v>318</v>
      </c>
      <c r="L81" s="1016" t="s">
        <v>399</v>
      </c>
      <c r="M81" s="1016" t="s">
        <v>400</v>
      </c>
      <c r="N81" s="1025" t="s">
        <v>660</v>
      </c>
      <c r="O81" s="1025" t="s">
        <v>663</v>
      </c>
      <c r="P81" s="832"/>
      <c r="Q81" s="832"/>
      <c r="R81" s="832"/>
      <c r="S81" s="785"/>
      <c r="T81" s="770" t="s">
        <v>35</v>
      </c>
      <c r="U81" s="770">
        <f>COUNTIF(D69:D88,"잡")</f>
        <v>0</v>
      </c>
      <c r="V81" s="771">
        <f>COUNTIF(I69:I88,"잡")</f>
        <v>0</v>
      </c>
      <c r="W81" s="770" t="s">
        <v>26</v>
      </c>
      <c r="X81" s="770">
        <f>SUMIF(D69:D88,"잡",F69:F88)</f>
        <v>0</v>
      </c>
      <c r="Y81" s="771">
        <f>SUMIF(I69:I88,"잡",K69:K88)</f>
        <v>0</v>
      </c>
      <c r="Z81" s="770">
        <f>COUNTIF(AJ69:AJ88,"잡국")+COUNTIF(AJ69:AJ88,"잡공")</f>
        <v>0</v>
      </c>
      <c r="AA81" s="771">
        <f>COUNTIF(AK69:AK88,"잡국")+COUNTIF(AK69:AK88,"잡공")</f>
        <v>0</v>
      </c>
      <c r="AB81" s="770" t="s">
        <v>26</v>
      </c>
      <c r="AC81" s="770">
        <f>SUMIF(AJ69:AJ88,"잡국",F69:F88)+SUMIF(AJ69:AJ88,"잡공",F69:F88)</f>
        <v>0</v>
      </c>
      <c r="AD81" s="771">
        <f>SUMIF(AK69:AK88,"잡국",K69:K88)+SUMIF(AK69:AK88,"잡공",K69:K88)</f>
        <v>0</v>
      </c>
      <c r="AE81" s="770">
        <f t="shared" si="19"/>
        <v>0</v>
      </c>
      <c r="AF81" s="771">
        <f t="shared" si="20"/>
        <v>0</v>
      </c>
      <c r="AG81" s="770" t="s">
        <v>26</v>
      </c>
      <c r="AH81" s="770">
        <f t="shared" si="21"/>
        <v>0</v>
      </c>
      <c r="AI81" s="771">
        <f t="shared" si="22"/>
        <v>0</v>
      </c>
      <c r="AJ81" s="770" t="str">
        <f t="shared" si="23"/>
        <v>답유근순</v>
      </c>
      <c r="AK81" s="770" t="str">
        <f t="shared" si="24"/>
        <v>답공</v>
      </c>
      <c r="AL81" s="772"/>
      <c r="AM81" s="772"/>
    </row>
    <row r="82" spans="1:39" s="773" customFormat="1" ht="24.95" customHeight="1" x14ac:dyDescent="0.15">
      <c r="A82" s="818">
        <v>74</v>
      </c>
      <c r="B82" s="775" t="s">
        <v>232</v>
      </c>
      <c r="C82" s="1016" t="s">
        <v>375</v>
      </c>
      <c r="D82" s="1016" t="s">
        <v>28</v>
      </c>
      <c r="E82" s="1033">
        <v>1265</v>
      </c>
      <c r="F82" s="1033">
        <v>1265</v>
      </c>
      <c r="G82" s="779"/>
      <c r="H82" s="1025" t="s">
        <v>375</v>
      </c>
      <c r="I82" s="1025" t="s">
        <v>28</v>
      </c>
      <c r="J82" s="1036">
        <v>1265</v>
      </c>
      <c r="K82" s="1036">
        <v>1265</v>
      </c>
      <c r="L82" s="1016" t="s">
        <v>401</v>
      </c>
      <c r="M82" s="1016" t="s">
        <v>402</v>
      </c>
      <c r="N82" s="1025" t="s">
        <v>660</v>
      </c>
      <c r="O82" s="1025" t="s">
        <v>663</v>
      </c>
      <c r="P82" s="815"/>
      <c r="Q82" s="815"/>
      <c r="R82" s="815"/>
      <c r="S82" s="810"/>
      <c r="T82" s="770" t="s">
        <v>51</v>
      </c>
      <c r="U82" s="770">
        <f>COUNTIF(D69:D88,"체")</f>
        <v>0</v>
      </c>
      <c r="V82" s="771">
        <f>COUNTIF(I69:I88,"체")</f>
        <v>0</v>
      </c>
      <c r="W82" s="770" t="s">
        <v>26</v>
      </c>
      <c r="X82" s="770">
        <f>SUMIF(D69:D88,"체",F69:F88)</f>
        <v>0</v>
      </c>
      <c r="Y82" s="771">
        <f>SUMIF(I69:I88,"체",K69:K88)</f>
        <v>0</v>
      </c>
      <c r="Z82" s="770">
        <f>COUNTIF(AJ69:AJ88,"체국")+COUNTIF(AJ69:AJ88,"체공")</f>
        <v>0</v>
      </c>
      <c r="AA82" s="771">
        <f>COUNTIF(AK69:AK88,"체국")+COUNTIF(AK69:AK88,"체공")</f>
        <v>0</v>
      </c>
      <c r="AB82" s="770" t="s">
        <v>26</v>
      </c>
      <c r="AC82" s="770">
        <f>SUMIF(AJ69:AJ88,"체국",F69:F88)+SUMIF(AJ69:AJ88,"체공",F69:F88)</f>
        <v>0</v>
      </c>
      <c r="AD82" s="771">
        <f>SUMIF(AK69:AK88,"체국",K69:K88)+SUMIF(AK69:AK88,"체공",K69:K88)</f>
        <v>0</v>
      </c>
      <c r="AE82" s="770">
        <f t="shared" si="19"/>
        <v>0</v>
      </c>
      <c r="AF82" s="771">
        <f t="shared" si="20"/>
        <v>0</v>
      </c>
      <c r="AG82" s="770" t="s">
        <v>26</v>
      </c>
      <c r="AH82" s="770">
        <f t="shared" si="21"/>
        <v>0</v>
      </c>
      <c r="AI82" s="771">
        <f t="shared" si="22"/>
        <v>0</v>
      </c>
      <c r="AJ82" s="770" t="str">
        <f t="shared" si="23"/>
        <v>답박재호</v>
      </c>
      <c r="AK82" s="770" t="str">
        <f t="shared" si="24"/>
        <v>답공</v>
      </c>
      <c r="AL82" s="772"/>
      <c r="AM82" s="772"/>
    </row>
    <row r="83" spans="1:39" s="773" customFormat="1" ht="24.95" customHeight="1" x14ac:dyDescent="0.15">
      <c r="A83" s="818">
        <v>75</v>
      </c>
      <c r="B83" s="775" t="s">
        <v>232</v>
      </c>
      <c r="C83" s="1016" t="s">
        <v>376</v>
      </c>
      <c r="D83" s="1016" t="s">
        <v>28</v>
      </c>
      <c r="E83" s="1033">
        <v>1006</v>
      </c>
      <c r="F83" s="1033">
        <v>1006</v>
      </c>
      <c r="G83" s="779"/>
      <c r="H83" s="1025" t="s">
        <v>376</v>
      </c>
      <c r="I83" s="1025" t="s">
        <v>28</v>
      </c>
      <c r="J83" s="1036">
        <v>1006</v>
      </c>
      <c r="K83" s="1036">
        <v>1006</v>
      </c>
      <c r="L83" s="1016" t="s">
        <v>401</v>
      </c>
      <c r="M83" s="1016" t="s">
        <v>403</v>
      </c>
      <c r="N83" s="1025" t="s">
        <v>660</v>
      </c>
      <c r="O83" s="1025" t="s">
        <v>663</v>
      </c>
      <c r="P83" s="832"/>
      <c r="Q83" s="832"/>
      <c r="R83" s="832"/>
      <c r="S83" s="810"/>
      <c r="T83" s="770" t="s">
        <v>50</v>
      </c>
      <c r="U83" s="770">
        <f>COUNTIF(D69:D88,"공")</f>
        <v>0</v>
      </c>
      <c r="V83" s="771">
        <f>COUNTIF(I69:I88,"공")</f>
        <v>0</v>
      </c>
      <c r="W83" s="770" t="s">
        <v>26</v>
      </c>
      <c r="X83" s="770">
        <f>SUMIF(D69:D88,"공",F69:F88)</f>
        <v>0</v>
      </c>
      <c r="Y83" s="771">
        <f>SUMIF(I69:I88,"공",K69:K88)</f>
        <v>0</v>
      </c>
      <c r="Z83" s="770">
        <f>COUNTIF(AJ69:AJ88,"공국")+COUNTIF(AJ69:AJ88,"공공")</f>
        <v>0</v>
      </c>
      <c r="AA83" s="771">
        <f>COUNTIF(AK69:AK88,"공국")+COUNTIF(AK69:AK88,"공공")</f>
        <v>0</v>
      </c>
      <c r="AB83" s="770" t="s">
        <v>26</v>
      </c>
      <c r="AC83" s="770">
        <f>SUMIF(AJ69:AJ88,"공국",F69:F88)+SUMIF(AJ69:AJ88,"공공",F69:F88)</f>
        <v>0</v>
      </c>
      <c r="AD83" s="771">
        <f>SUMIF(AK69:AK88,"공국",K69:K88)+SUMIF(AK69:AK88,"공공",K69:K88)</f>
        <v>0</v>
      </c>
      <c r="AE83" s="770">
        <f t="shared" si="19"/>
        <v>0</v>
      </c>
      <c r="AF83" s="771">
        <f t="shared" si="20"/>
        <v>0</v>
      </c>
      <c r="AG83" s="770" t="s">
        <v>26</v>
      </c>
      <c r="AH83" s="770">
        <f t="shared" si="21"/>
        <v>0</v>
      </c>
      <c r="AI83" s="771">
        <f t="shared" si="22"/>
        <v>0</v>
      </c>
      <c r="AJ83" s="770" t="str">
        <f t="shared" si="23"/>
        <v>답박재호</v>
      </c>
      <c r="AK83" s="770" t="str">
        <f t="shared" si="24"/>
        <v>답공</v>
      </c>
      <c r="AL83" s="772"/>
      <c r="AM83" s="772"/>
    </row>
    <row r="84" spans="1:39" s="773" customFormat="1" ht="24.95" customHeight="1" x14ac:dyDescent="0.15">
      <c r="A84" s="818">
        <v>76</v>
      </c>
      <c r="B84" s="775" t="s">
        <v>232</v>
      </c>
      <c r="C84" s="1016" t="s">
        <v>377</v>
      </c>
      <c r="D84" s="1016" t="s">
        <v>28</v>
      </c>
      <c r="E84" s="1033">
        <v>11</v>
      </c>
      <c r="F84" s="1033">
        <v>11</v>
      </c>
      <c r="G84" s="779"/>
      <c r="H84" s="1025" t="s">
        <v>377</v>
      </c>
      <c r="I84" s="1025" t="s">
        <v>28</v>
      </c>
      <c r="J84" s="1036">
        <v>11</v>
      </c>
      <c r="K84" s="1036">
        <v>11</v>
      </c>
      <c r="L84" s="1016" t="s">
        <v>352</v>
      </c>
      <c r="M84" s="1016" t="s">
        <v>406</v>
      </c>
      <c r="N84" s="1025" t="s">
        <v>660</v>
      </c>
      <c r="O84" s="1025" t="s">
        <v>663</v>
      </c>
      <c r="P84" s="832"/>
      <c r="Q84" s="832"/>
      <c r="R84" s="832"/>
      <c r="S84" s="785"/>
      <c r="T84" s="791" t="s">
        <v>40</v>
      </c>
      <c r="U84" s="770">
        <f>COUNTIF(D69:D88,"장")</f>
        <v>0</v>
      </c>
      <c r="V84" s="771">
        <f>COUNTIF(I69:I88,"장")</f>
        <v>0</v>
      </c>
      <c r="W84" s="770" t="s">
        <v>26</v>
      </c>
      <c r="X84" s="770">
        <f>SUMIF(D69:D88,"장",F69:F88)</f>
        <v>0</v>
      </c>
      <c r="Y84" s="771">
        <f>SUMIF(I69:I88,"장",K69:K88)</f>
        <v>0</v>
      </c>
      <c r="Z84" s="770">
        <f>COUNTIF(AJ69:AJ88,"장국")+COUNTIF(AJ69:AJ88,"장공")</f>
        <v>0</v>
      </c>
      <c r="AA84" s="771">
        <f>COUNTIF(AK69:AK88,"장국")+COUNTIF(AK69:AK88,"장공")</f>
        <v>0</v>
      </c>
      <c r="AB84" s="770" t="s">
        <v>26</v>
      </c>
      <c r="AC84" s="770">
        <f>SUMIF(AJ69:AJ88,"장국",F69:F88)+SUMIF(AJ69:AJ88,"장공",F69:F88)</f>
        <v>0</v>
      </c>
      <c r="AD84" s="771">
        <f>SUMIF(AK69:AK88,"장국",K69:K88)+SUMIF(AK69:AK88,"장공",K69:K88)</f>
        <v>0</v>
      </c>
      <c r="AE84" s="770">
        <f t="shared" si="19"/>
        <v>0</v>
      </c>
      <c r="AF84" s="771">
        <f t="shared" si="20"/>
        <v>0</v>
      </c>
      <c r="AG84" s="770" t="s">
        <v>26</v>
      </c>
      <c r="AH84" s="770">
        <f t="shared" si="21"/>
        <v>0</v>
      </c>
      <c r="AI84" s="771">
        <f t="shared" si="22"/>
        <v>0</v>
      </c>
      <c r="AJ84" s="770" t="str">
        <f t="shared" si="23"/>
        <v>답공</v>
      </c>
      <c r="AK84" s="770" t="str">
        <f t="shared" si="24"/>
        <v>답공</v>
      </c>
      <c r="AL84" s="772"/>
      <c r="AM84" s="772"/>
    </row>
    <row r="85" spans="1:39" s="773" customFormat="1" ht="24.95" customHeight="1" x14ac:dyDescent="0.15">
      <c r="A85" s="818">
        <v>77</v>
      </c>
      <c r="B85" s="775" t="s">
        <v>232</v>
      </c>
      <c r="C85" s="1016" t="s">
        <v>407</v>
      </c>
      <c r="D85" s="1016" t="s">
        <v>28</v>
      </c>
      <c r="E85" s="1033">
        <v>127</v>
      </c>
      <c r="F85" s="1033">
        <v>127</v>
      </c>
      <c r="G85" s="1015" t="s">
        <v>401</v>
      </c>
      <c r="H85" s="1025" t="s">
        <v>407</v>
      </c>
      <c r="I85" s="1025" t="s">
        <v>28</v>
      </c>
      <c r="J85" s="1036">
        <v>127</v>
      </c>
      <c r="K85" s="1036">
        <v>127</v>
      </c>
      <c r="L85" s="1016" t="s">
        <v>401</v>
      </c>
      <c r="M85" s="1016" t="s">
        <v>419</v>
      </c>
      <c r="N85" s="1025" t="s">
        <v>660</v>
      </c>
      <c r="O85" s="1025" t="s">
        <v>663</v>
      </c>
      <c r="P85" s="832"/>
      <c r="Q85" s="832"/>
      <c r="R85" s="832"/>
      <c r="S85" s="785"/>
      <c r="T85" s="791" t="s">
        <v>79</v>
      </c>
      <c r="U85" s="770">
        <f>COUNTIF(D69:D88,"목")</f>
        <v>0</v>
      </c>
      <c r="V85" s="771">
        <f>COUNTIF(I69:I88,"목")</f>
        <v>0</v>
      </c>
      <c r="W85" s="770" t="s">
        <v>26</v>
      </c>
      <c r="X85" s="770">
        <f>SUMIF(D69:D88,"목",F69:F88)</f>
        <v>0</v>
      </c>
      <c r="Y85" s="771">
        <f>SUMIF(I69:I88,"목",K69:K88)</f>
        <v>0</v>
      </c>
      <c r="Z85" s="770">
        <f>COUNTIF(AJ69:AJ88,"목국")+COUNTIF(AJ69:AJ88,"목공")</f>
        <v>0</v>
      </c>
      <c r="AA85" s="771">
        <f>COUNTIF(AK69:AK88,"목국")+COUNTIF(AK69:AK88,"목공")</f>
        <v>0</v>
      </c>
      <c r="AB85" s="770" t="s">
        <v>26</v>
      </c>
      <c r="AC85" s="770">
        <f>SUMIF(AJ69:AJ88,"목국",F69:F88)+SUMIF(AJ69:AJ88,"목공",F69:F88)</f>
        <v>0</v>
      </c>
      <c r="AD85" s="771">
        <f>SUMIF(AK69:AK88,"목국",K69:K88)+SUMIF(AK69:AK88,"목공",K69:K88)</f>
        <v>0</v>
      </c>
      <c r="AE85" s="770">
        <f t="shared" si="19"/>
        <v>0</v>
      </c>
      <c r="AF85" s="771">
        <f t="shared" si="20"/>
        <v>0</v>
      </c>
      <c r="AG85" s="770" t="s">
        <v>26</v>
      </c>
      <c r="AH85" s="770">
        <f t="shared" si="21"/>
        <v>0</v>
      </c>
      <c r="AI85" s="771">
        <f t="shared" si="22"/>
        <v>0</v>
      </c>
      <c r="AJ85" s="770" t="str">
        <f t="shared" si="23"/>
        <v>답박재호</v>
      </c>
      <c r="AK85" s="770" t="str">
        <f t="shared" si="24"/>
        <v>답공</v>
      </c>
      <c r="AL85" s="772"/>
      <c r="AM85" s="772"/>
    </row>
    <row r="86" spans="1:39" s="773" customFormat="1" ht="24.95" customHeight="1" x14ac:dyDescent="0.15">
      <c r="A86" s="818"/>
      <c r="B86" s="775" t="s">
        <v>232</v>
      </c>
      <c r="C86" s="1017">
        <v>341</v>
      </c>
      <c r="D86" s="1016" t="s">
        <v>156</v>
      </c>
      <c r="E86" s="1033">
        <v>207</v>
      </c>
      <c r="F86" s="1033">
        <v>207</v>
      </c>
      <c r="G86" s="779"/>
      <c r="H86" s="1028"/>
      <c r="I86" s="1025"/>
      <c r="J86" s="1036"/>
      <c r="K86" s="1036"/>
      <c r="L86" s="1016" t="s">
        <v>260</v>
      </c>
      <c r="M86" s="1016" t="s">
        <v>261</v>
      </c>
      <c r="N86" s="1025"/>
      <c r="O86" s="1025"/>
      <c r="P86" s="832"/>
      <c r="Q86" s="832"/>
      <c r="R86" s="832"/>
      <c r="S86" s="785"/>
      <c r="T86" s="791"/>
      <c r="U86" s="791"/>
      <c r="V86" s="792"/>
      <c r="W86" s="791"/>
      <c r="X86" s="791"/>
      <c r="Y86" s="792"/>
      <c r="Z86" s="770"/>
      <c r="AA86" s="771"/>
      <c r="AB86" s="791"/>
      <c r="AC86" s="770"/>
      <c r="AD86" s="771"/>
      <c r="AE86" s="791"/>
      <c r="AF86" s="792"/>
      <c r="AG86" s="791"/>
      <c r="AH86" s="791"/>
      <c r="AI86" s="792"/>
      <c r="AJ86" s="770" t="str">
        <f t="shared" si="23"/>
        <v>대양명자</v>
      </c>
      <c r="AK86" s="770" t="str">
        <f t="shared" si="24"/>
        <v/>
      </c>
      <c r="AL86" s="772"/>
      <c r="AM86" s="772"/>
    </row>
    <row r="87" spans="1:39" s="773" customFormat="1" ht="24.95" customHeight="1" x14ac:dyDescent="0.15">
      <c r="A87" s="818"/>
      <c r="B87" s="775" t="s">
        <v>232</v>
      </c>
      <c r="C87" s="1016" t="s">
        <v>274</v>
      </c>
      <c r="D87" s="1016" t="s">
        <v>156</v>
      </c>
      <c r="E87" s="1033">
        <v>229</v>
      </c>
      <c r="F87" s="1033">
        <v>229</v>
      </c>
      <c r="G87" s="779"/>
      <c r="H87" s="1025"/>
      <c r="I87" s="1025"/>
      <c r="J87" s="1036"/>
      <c r="K87" s="1036"/>
      <c r="L87" s="1016" t="s">
        <v>283</v>
      </c>
      <c r="M87" s="1016" t="s">
        <v>285</v>
      </c>
      <c r="N87" s="1025"/>
      <c r="O87" s="1025"/>
      <c r="P87" s="815"/>
      <c r="Q87" s="815"/>
      <c r="R87" s="815"/>
      <c r="S87" s="785"/>
      <c r="T87" s="791"/>
      <c r="U87" s="791"/>
      <c r="V87" s="792"/>
      <c r="W87" s="791"/>
      <c r="X87" s="791"/>
      <c r="Y87" s="792"/>
      <c r="Z87" s="770"/>
      <c r="AA87" s="771"/>
      <c r="AB87" s="791"/>
      <c r="AC87" s="770"/>
      <c r="AD87" s="771"/>
      <c r="AE87" s="791"/>
      <c r="AF87" s="792"/>
      <c r="AG87" s="791"/>
      <c r="AH87" s="791"/>
      <c r="AI87" s="792"/>
      <c r="AJ87" s="770" t="str">
        <f t="shared" si="23"/>
        <v>대김귀례</v>
      </c>
      <c r="AK87" s="770" t="str">
        <f t="shared" si="24"/>
        <v/>
      </c>
      <c r="AL87" s="772"/>
      <c r="AM87" s="772"/>
    </row>
    <row r="88" spans="1:39" s="773" customFormat="1" ht="24.95" customHeight="1" x14ac:dyDescent="0.15">
      <c r="A88" s="818"/>
      <c r="B88" s="775" t="s">
        <v>232</v>
      </c>
      <c r="C88" s="1016" t="s">
        <v>317</v>
      </c>
      <c r="D88" s="1016" t="s">
        <v>27</v>
      </c>
      <c r="E88" s="1033">
        <v>32</v>
      </c>
      <c r="F88" s="1033">
        <v>32</v>
      </c>
      <c r="G88" s="779"/>
      <c r="H88" s="1025"/>
      <c r="I88" s="1025"/>
      <c r="J88" s="1036"/>
      <c r="K88" s="1036"/>
      <c r="L88" s="1016" t="s">
        <v>257</v>
      </c>
      <c r="M88" s="1016" t="s">
        <v>331</v>
      </c>
      <c r="N88" s="1025"/>
      <c r="O88" s="1025"/>
      <c r="P88" s="832"/>
      <c r="Q88" s="832"/>
      <c r="R88" s="832"/>
      <c r="S88" s="785"/>
      <c r="T88" s="794" t="s">
        <v>37</v>
      </c>
      <c r="U88" s="794">
        <f>COUNTIF(D69:D88,"철")</f>
        <v>0</v>
      </c>
      <c r="V88" s="795">
        <f>COUNTIF(I69:I88,"철")</f>
        <v>0</v>
      </c>
      <c r="W88" s="794" t="s">
        <v>26</v>
      </c>
      <c r="X88" s="794">
        <f>SUMIF(D69:D88,"철",F69:F88)</f>
        <v>0</v>
      </c>
      <c r="Y88" s="795">
        <f>SUMIF(I69:I88,"철",K69:K88)</f>
        <v>0</v>
      </c>
      <c r="Z88" s="770">
        <f>COUNTIF(AJ69:AJ88,"철국")+COUNTIF(AJ69:AJ88,"철공")</f>
        <v>0</v>
      </c>
      <c r="AA88" s="771">
        <f>COUNTIF(AK69:AK88,"철국")+COUNTIF(AK69:AK88,"철공")</f>
        <v>0</v>
      </c>
      <c r="AB88" s="794" t="s">
        <v>26</v>
      </c>
      <c r="AC88" s="770">
        <f>SUMIF(AJ69:AJ88,"철국",F69:F88)+SUMIF(AJ69:AJ88,"철공",F69:F88)</f>
        <v>0</v>
      </c>
      <c r="AD88" s="771">
        <f>SUMIF(AK69:AK88,"철국",K69:K88)+SUMIF(AK69:AK88,"철공",K69:K88)</f>
        <v>0</v>
      </c>
      <c r="AE88" s="794"/>
      <c r="AF88" s="795"/>
      <c r="AG88" s="794"/>
      <c r="AH88" s="794"/>
      <c r="AI88" s="795"/>
      <c r="AJ88" s="770" t="str">
        <f t="shared" si="23"/>
        <v>전최현식</v>
      </c>
      <c r="AK88" s="770" t="str">
        <f t="shared" si="24"/>
        <v/>
      </c>
      <c r="AL88" s="772"/>
      <c r="AM88" s="772"/>
    </row>
    <row r="89" spans="1:39" s="755" customFormat="1" ht="24" customHeight="1" thickBot="1" x14ac:dyDescent="0.2">
      <c r="A89" s="796" t="s">
        <v>48</v>
      </c>
      <c r="B89" s="797"/>
      <c r="C89" s="1117"/>
      <c r="D89" s="1117"/>
      <c r="E89" s="1117"/>
      <c r="F89" s="1118">
        <f>SUM(F69:F88)</f>
        <v>12413</v>
      </c>
      <c r="G89" s="1119"/>
      <c r="H89" s="1120"/>
      <c r="I89" s="1121"/>
      <c r="J89" s="1122"/>
      <c r="K89" s="1123">
        <f>SUM(K69:K88)</f>
        <v>11945</v>
      </c>
      <c r="L89" s="1124"/>
      <c r="M89" s="1124"/>
      <c r="N89" s="1125"/>
      <c r="O89" s="1125"/>
      <c r="P89" s="1124"/>
      <c r="Q89" s="1124"/>
      <c r="R89" s="803"/>
      <c r="S89" s="805"/>
      <c r="T89" s="806" t="s">
        <v>24</v>
      </c>
      <c r="U89" s="807">
        <f t="shared" ref="U89:AA89" si="25">SUM(U69:U88)</f>
        <v>20</v>
      </c>
      <c r="V89" s="807">
        <f t="shared" si="25"/>
        <v>17</v>
      </c>
      <c r="W89" s="807">
        <f t="shared" si="25"/>
        <v>0</v>
      </c>
      <c r="X89" s="807">
        <f t="shared" si="25"/>
        <v>12413</v>
      </c>
      <c r="Y89" s="807">
        <f t="shared" si="25"/>
        <v>11945</v>
      </c>
      <c r="Z89" s="822">
        <f t="shared" si="25"/>
        <v>2</v>
      </c>
      <c r="AA89" s="823">
        <f t="shared" si="25"/>
        <v>17</v>
      </c>
      <c r="AB89" s="822" t="s">
        <v>26</v>
      </c>
      <c r="AC89" s="822">
        <f>SUM(AC69:AC88)</f>
        <v>206</v>
      </c>
      <c r="AD89" s="823">
        <f>SUM(AD69:AD88)</f>
        <v>11945</v>
      </c>
      <c r="AE89" s="807">
        <f>SUM(AE69:AE88)</f>
        <v>18</v>
      </c>
      <c r="AF89" s="807">
        <f>SUM(AF69:AF88)</f>
        <v>0</v>
      </c>
      <c r="AG89" s="807" t="s">
        <v>26</v>
      </c>
      <c r="AH89" s="807">
        <f>SUM(AH69:AH88)</f>
        <v>12207</v>
      </c>
      <c r="AI89" s="807">
        <f>SUM(AI69:AI88)</f>
        <v>0</v>
      </c>
      <c r="AJ89" s="807"/>
      <c r="AK89" s="770" t="str">
        <f t="shared" si="24"/>
        <v/>
      </c>
    </row>
    <row r="90" spans="1:39" s="773" customFormat="1" ht="24" customHeight="1" x14ac:dyDescent="0.15">
      <c r="A90" s="808"/>
      <c r="B90" s="762" t="s">
        <v>213</v>
      </c>
      <c r="C90" s="1016" t="s">
        <v>365</v>
      </c>
      <c r="D90" s="1016" t="s">
        <v>298</v>
      </c>
      <c r="E90" s="1033">
        <v>26007</v>
      </c>
      <c r="F90" s="1033">
        <v>54</v>
      </c>
      <c r="G90" s="779"/>
      <c r="H90" s="1025"/>
      <c r="I90" s="1025"/>
      <c r="J90" s="1036"/>
      <c r="K90" s="1036"/>
      <c r="L90" s="1016" t="s">
        <v>384</v>
      </c>
      <c r="M90" s="1016" t="s">
        <v>385</v>
      </c>
      <c r="N90" s="1025"/>
      <c r="O90" s="1025"/>
      <c r="P90" s="833"/>
      <c r="Q90" s="833"/>
      <c r="R90" s="833"/>
      <c r="S90" s="769"/>
      <c r="T90" s="770" t="s">
        <v>27</v>
      </c>
      <c r="U90" s="770">
        <f>COUNTIF(D90:D109,"전")</f>
        <v>1</v>
      </c>
      <c r="V90" s="771">
        <f>COUNTIF(I90:I109,"전")</f>
        <v>0</v>
      </c>
      <c r="W90" s="770" t="s">
        <v>26</v>
      </c>
      <c r="X90" s="770">
        <f>SUMIF(D90:D109,"전",F90:F109)</f>
        <v>749</v>
      </c>
      <c r="Y90" s="771">
        <f>SUMIF(I90:I109,"전",K90:K109)</f>
        <v>0</v>
      </c>
      <c r="Z90" s="770">
        <f>COUNTIF(AJ90:AJ109,"전국")+COUNTIF(AJ90:AJ109,"전공")</f>
        <v>0</v>
      </c>
      <c r="AA90" s="771">
        <f>COUNTIF(AK90:AK109,"전국")+COUNTIF(AK90:AK109,"전공")</f>
        <v>0</v>
      </c>
      <c r="AB90" s="770" t="s">
        <v>26</v>
      </c>
      <c r="AC90" s="770">
        <f>SUMIF(AJ90:AJ109,"전국",F90:F109)+SUMIF(AJ90:AJ109,"전공",F90:F109)</f>
        <v>0</v>
      </c>
      <c r="AD90" s="771">
        <f>SUMIF(AK90:AK109,"전국",K90:K109)+SUMIF(AK90:AK109,"전공",K90:K109)</f>
        <v>0</v>
      </c>
      <c r="AE90" s="770">
        <f t="shared" ref="AE90:AE106" si="26">U90-Z90</f>
        <v>1</v>
      </c>
      <c r="AF90" s="771">
        <f t="shared" ref="AF90:AF106" si="27">V90-AA90</f>
        <v>0</v>
      </c>
      <c r="AG90" s="770" t="s">
        <v>26</v>
      </c>
      <c r="AH90" s="770">
        <f t="shared" ref="AH90:AH106" si="28">X90-AC90</f>
        <v>749</v>
      </c>
      <c r="AI90" s="771">
        <f t="shared" ref="AI90:AI106" si="29">Y90-AD90</f>
        <v>0</v>
      </c>
      <c r="AJ90" s="770" t="str">
        <f t="shared" ref="AJ90:AJ109" si="30">CONCATENATE(D90,L90)</f>
        <v>임권순조 외 1인</v>
      </c>
      <c r="AK90" s="770" t="str">
        <f t="shared" si="24"/>
        <v/>
      </c>
    </row>
    <row r="91" spans="1:39" s="773" customFormat="1" ht="24" customHeight="1" x14ac:dyDescent="0.15">
      <c r="A91" s="818"/>
      <c r="B91" s="775"/>
      <c r="C91" s="1016" t="s">
        <v>408</v>
      </c>
      <c r="D91" s="1016" t="s">
        <v>28</v>
      </c>
      <c r="E91" s="1033">
        <v>41</v>
      </c>
      <c r="F91" s="1033">
        <v>41</v>
      </c>
      <c r="G91" s="1015" t="s">
        <v>401</v>
      </c>
      <c r="H91" s="1025"/>
      <c r="I91" s="1025"/>
      <c r="J91" s="1036"/>
      <c r="K91" s="1036"/>
      <c r="L91" s="1016" t="s">
        <v>401</v>
      </c>
      <c r="M91" s="1016" t="s">
        <v>403</v>
      </c>
      <c r="N91" s="1025"/>
      <c r="O91" s="1025"/>
      <c r="P91" s="832"/>
      <c r="Q91" s="832"/>
      <c r="R91" s="832"/>
      <c r="S91" s="785"/>
      <c r="T91" s="770" t="s">
        <v>28</v>
      </c>
      <c r="U91" s="770">
        <f>COUNTIF(D90:D109,"답")</f>
        <v>2</v>
      </c>
      <c r="V91" s="771">
        <f>COUNTIF(I90:I109,"답")</f>
        <v>0</v>
      </c>
      <c r="W91" s="770" t="s">
        <v>26</v>
      </c>
      <c r="X91" s="770">
        <f>SUMIF(D90:D109,"답",F90:F109)</f>
        <v>86</v>
      </c>
      <c r="Y91" s="771">
        <f>SUMIF(I90:I109,"답",K90:K109)</f>
        <v>0</v>
      </c>
      <c r="Z91" s="770">
        <f>COUNTIF(AJ90:AJ109,"답국")+COUNTIF(AJ90:AJ109,"답공")</f>
        <v>0</v>
      </c>
      <c r="AA91" s="771">
        <f>COUNTIF(AK90:AK109,"답국")+COUNTIF(AK90:AK109,"답공")</f>
        <v>0</v>
      </c>
      <c r="AB91" s="770" t="s">
        <v>26</v>
      </c>
      <c r="AC91" s="770">
        <f>SUMIF(AJ90:AJ109,"답국",F90:F109)+SUMIF(AJ90:AJ109,"답공",F90:F109)</f>
        <v>0</v>
      </c>
      <c r="AD91" s="771">
        <f>SUMIF(AK90:AK109,"답국",K90:K109)+SUMIF(AK90:AK109,"답공",K90:K109)</f>
        <v>0</v>
      </c>
      <c r="AE91" s="770">
        <f t="shared" si="26"/>
        <v>2</v>
      </c>
      <c r="AF91" s="771">
        <f t="shared" si="27"/>
        <v>0</v>
      </c>
      <c r="AG91" s="770" t="s">
        <v>26</v>
      </c>
      <c r="AH91" s="770">
        <f t="shared" si="28"/>
        <v>86</v>
      </c>
      <c r="AI91" s="771">
        <f t="shared" si="29"/>
        <v>0</v>
      </c>
      <c r="AJ91" s="770" t="str">
        <f t="shared" si="30"/>
        <v>답박재호</v>
      </c>
      <c r="AK91" s="770" t="str">
        <f t="shared" si="24"/>
        <v/>
      </c>
    </row>
    <row r="92" spans="1:39" s="773" customFormat="1" ht="24" customHeight="1" x14ac:dyDescent="0.15">
      <c r="A92" s="818"/>
      <c r="B92" s="775"/>
      <c r="C92" s="1016" t="s">
        <v>409</v>
      </c>
      <c r="D92" s="1016" t="s">
        <v>28</v>
      </c>
      <c r="E92" s="1033">
        <v>118</v>
      </c>
      <c r="F92" s="1033">
        <v>45</v>
      </c>
      <c r="G92" s="1015" t="s">
        <v>410</v>
      </c>
      <c r="H92" s="1025"/>
      <c r="I92" s="1025"/>
      <c r="J92" s="1036"/>
      <c r="K92" s="1036"/>
      <c r="L92" s="1016" t="s">
        <v>410</v>
      </c>
      <c r="M92" s="1016" t="s">
        <v>416</v>
      </c>
      <c r="N92" s="1025"/>
      <c r="O92" s="1025"/>
      <c r="P92" s="832"/>
      <c r="Q92" s="832"/>
      <c r="R92" s="832"/>
      <c r="S92" s="785"/>
      <c r="T92" s="770" t="s">
        <v>44</v>
      </c>
      <c r="U92" s="770">
        <f>COUNTIF(D90:D109,"임")</f>
        <v>2</v>
      </c>
      <c r="V92" s="771">
        <f>COUNTIF(I90:I109,"임")</f>
        <v>0</v>
      </c>
      <c r="W92" s="770" t="s">
        <v>26</v>
      </c>
      <c r="X92" s="770">
        <f>SUMIF(D90:D109,"임",F90:F109)</f>
        <v>566</v>
      </c>
      <c r="Y92" s="771">
        <f>SUMIF(I90:I109,"임",K90:K109)</f>
        <v>0</v>
      </c>
      <c r="Z92" s="770">
        <f>COUNTIF(AJ90:AJ109,"임국")+COUNTIF(AJ90:AJ109,"임공")</f>
        <v>0</v>
      </c>
      <c r="AA92" s="771">
        <f>COUNTIF(AK90:AK109,"임국")+COUNTIF(AK90:AK109,"임공")</f>
        <v>0</v>
      </c>
      <c r="AB92" s="770" t="s">
        <v>26</v>
      </c>
      <c r="AC92" s="770">
        <f>SUMIF(AJ90:AJ109,"임국",F90:F109)+SUMIF(AJ90:AJ109,"임공",F90:F109)</f>
        <v>0</v>
      </c>
      <c r="AD92" s="771">
        <f>SUMIF(AK90:AK109,"임국",K90:K109)+SUMIF(AK90:AK109,"임공",K90:K109)</f>
        <v>0</v>
      </c>
      <c r="AE92" s="770">
        <f t="shared" si="26"/>
        <v>2</v>
      </c>
      <c r="AF92" s="771">
        <f t="shared" si="27"/>
        <v>0</v>
      </c>
      <c r="AG92" s="770" t="s">
        <v>26</v>
      </c>
      <c r="AH92" s="770">
        <f t="shared" si="28"/>
        <v>566</v>
      </c>
      <c r="AI92" s="771">
        <f t="shared" si="29"/>
        <v>0</v>
      </c>
      <c r="AJ92" s="770" t="str">
        <f t="shared" si="30"/>
        <v>답천봉사</v>
      </c>
      <c r="AK92" s="770" t="str">
        <f t="shared" si="24"/>
        <v/>
      </c>
      <c r="AL92" s="772"/>
      <c r="AM92" s="772"/>
    </row>
    <row r="93" spans="1:39" s="773" customFormat="1" ht="24" customHeight="1" x14ac:dyDescent="0.15">
      <c r="A93" s="818"/>
      <c r="B93" s="775" t="s">
        <v>232</v>
      </c>
      <c r="C93" s="1016" t="s">
        <v>414</v>
      </c>
      <c r="D93" s="1016" t="s">
        <v>298</v>
      </c>
      <c r="E93" s="1033">
        <v>512</v>
      </c>
      <c r="F93" s="1033">
        <v>512</v>
      </c>
      <c r="G93" s="1015" t="s">
        <v>415</v>
      </c>
      <c r="H93" s="1025"/>
      <c r="I93" s="1025"/>
      <c r="J93" s="1036"/>
      <c r="K93" s="1036"/>
      <c r="L93" s="1016" t="s">
        <v>415</v>
      </c>
      <c r="M93" s="1038" t="s">
        <v>418</v>
      </c>
      <c r="N93" s="1025"/>
      <c r="O93" s="1025"/>
      <c r="P93" s="832"/>
      <c r="Q93" s="832"/>
      <c r="R93" s="832"/>
      <c r="S93" s="785"/>
      <c r="T93" s="770" t="s">
        <v>45</v>
      </c>
      <c r="U93" s="770">
        <f>COUNTIF(D90:D109,"대")</f>
        <v>0</v>
      </c>
      <c r="V93" s="771">
        <f>COUNTIF(I90:I109,"대")</f>
        <v>0</v>
      </c>
      <c r="W93" s="770" t="s">
        <v>26</v>
      </c>
      <c r="X93" s="770">
        <f>SUMIF(D90:D109,"대",F90:F109)</f>
        <v>0</v>
      </c>
      <c r="Y93" s="771">
        <f>SUMIF(I90:I109,"대",K90:K109)</f>
        <v>0</v>
      </c>
      <c r="Z93" s="770">
        <f>COUNTIF(AJ90:AJ109,"대국")+COUNTIF(AJ90:AJ109,"대공")</f>
        <v>0</v>
      </c>
      <c r="AA93" s="771">
        <f>COUNTIF(AK90:AK109,"대국")+COUNTIF(AK90:AK109,"대공")</f>
        <v>0</v>
      </c>
      <c r="AB93" s="770" t="s">
        <v>26</v>
      </c>
      <c r="AC93" s="770">
        <f>SUMIF(AJ90:AJ109,"대국",F90:F109)+SUMIF(AJ90:AJ109,"대공",F90:F109)</f>
        <v>0</v>
      </c>
      <c r="AD93" s="771">
        <f>SUMIF(AK90:AK109,"대국",K90:K109)+SUMIF(AK90:AK109,"대공",K90:K109)</f>
        <v>0</v>
      </c>
      <c r="AE93" s="770">
        <f t="shared" si="26"/>
        <v>0</v>
      </c>
      <c r="AF93" s="771">
        <f t="shared" si="27"/>
        <v>0</v>
      </c>
      <c r="AG93" s="770" t="s">
        <v>26</v>
      </c>
      <c r="AH93" s="770">
        <f t="shared" si="28"/>
        <v>0</v>
      </c>
      <c r="AI93" s="771">
        <f t="shared" si="29"/>
        <v>0</v>
      </c>
      <c r="AJ93" s="770" t="str">
        <f t="shared" si="30"/>
        <v>임허운범외 1인</v>
      </c>
      <c r="AK93" s="770" t="str">
        <f t="shared" si="24"/>
        <v/>
      </c>
      <c r="AL93" s="772"/>
      <c r="AM93" s="772"/>
    </row>
    <row r="94" spans="1:39" s="773" customFormat="1" ht="24" customHeight="1" x14ac:dyDescent="0.15">
      <c r="A94" s="818"/>
      <c r="B94" s="775" t="s">
        <v>232</v>
      </c>
      <c r="C94" s="1016" t="s">
        <v>411</v>
      </c>
      <c r="D94" s="1016" t="s">
        <v>27</v>
      </c>
      <c r="E94" s="1033">
        <v>1449</v>
      </c>
      <c r="F94" s="1033">
        <v>749</v>
      </c>
      <c r="G94" s="1015" t="s">
        <v>412</v>
      </c>
      <c r="H94" s="1025"/>
      <c r="I94" s="1025"/>
      <c r="J94" s="1036"/>
      <c r="K94" s="1036"/>
      <c r="L94" s="1016" t="s">
        <v>412</v>
      </c>
      <c r="M94" s="1016" t="s">
        <v>417</v>
      </c>
      <c r="N94" s="1025"/>
      <c r="O94" s="1025"/>
      <c r="P94" s="832"/>
      <c r="Q94" s="832"/>
      <c r="R94" s="832"/>
      <c r="S94" s="785"/>
      <c r="T94" s="770" t="s">
        <v>31</v>
      </c>
      <c r="U94" s="770">
        <f>COUNTIF(D90:D109,"도")</f>
        <v>1</v>
      </c>
      <c r="V94" s="771">
        <f>COUNTIF(I90:I109,"도")</f>
        <v>0</v>
      </c>
      <c r="W94" s="770" t="s">
        <v>26</v>
      </c>
      <c r="X94" s="770">
        <f>SUMIF(D90:D109,"도",F90:F109)</f>
        <v>82</v>
      </c>
      <c r="Y94" s="771">
        <f>SUMIF(I90:I109,"도",K90:K109)</f>
        <v>0</v>
      </c>
      <c r="Z94" s="770">
        <f>COUNTIF(AJ90:AJ109,"도국")+COUNTIF(AJ90:AJ109,"도공")</f>
        <v>1</v>
      </c>
      <c r="AA94" s="771">
        <f>COUNTIF(AK90:AK109,"도국")+COUNTIF(AK90:AK109,"도공")</f>
        <v>0</v>
      </c>
      <c r="AB94" s="770" t="s">
        <v>26</v>
      </c>
      <c r="AC94" s="770">
        <f>SUMIF(AJ90:AJ109,"도국",F90:F109)+SUMIF(AJ90:AJ109,"도공",F90:F109)</f>
        <v>82</v>
      </c>
      <c r="AD94" s="771">
        <f>SUMIF(AK90:AK109,"도국",K90:K109)+SUMIF(AK90:AK109,"도공",K90:K109)</f>
        <v>0</v>
      </c>
      <c r="AE94" s="770">
        <f t="shared" si="26"/>
        <v>0</v>
      </c>
      <c r="AF94" s="771">
        <f t="shared" si="27"/>
        <v>0</v>
      </c>
      <c r="AG94" s="770" t="s">
        <v>26</v>
      </c>
      <c r="AH94" s="770">
        <f t="shared" si="28"/>
        <v>0</v>
      </c>
      <c r="AI94" s="771">
        <f t="shared" si="29"/>
        <v>0</v>
      </c>
      <c r="AJ94" s="770" t="str">
        <f t="shared" si="30"/>
        <v>전신민성</v>
      </c>
      <c r="AK94" s="770" t="str">
        <f t="shared" si="24"/>
        <v/>
      </c>
      <c r="AL94" s="772"/>
      <c r="AM94" s="772"/>
    </row>
    <row r="95" spans="1:39" s="773" customFormat="1" ht="24" customHeight="1" x14ac:dyDescent="0.15">
      <c r="A95" s="818"/>
      <c r="B95" s="775"/>
      <c r="C95" s="1016" t="s">
        <v>413</v>
      </c>
      <c r="D95" s="1016" t="s">
        <v>154</v>
      </c>
      <c r="E95" s="1033">
        <v>463</v>
      </c>
      <c r="F95" s="1033">
        <v>82</v>
      </c>
      <c r="G95" s="1015" t="s">
        <v>155</v>
      </c>
      <c r="H95" s="1025"/>
      <c r="I95" s="1025"/>
      <c r="J95" s="1036"/>
      <c r="K95" s="1036"/>
      <c r="L95" s="1016" t="s">
        <v>155</v>
      </c>
      <c r="M95" s="1016" t="s">
        <v>184</v>
      </c>
      <c r="N95" s="1025"/>
      <c r="O95" s="1025"/>
      <c r="P95" s="815"/>
      <c r="Q95" s="815"/>
      <c r="R95" s="815"/>
      <c r="S95" s="785"/>
      <c r="T95" s="770" t="s">
        <v>32</v>
      </c>
      <c r="U95" s="786">
        <f>COUNTIF(D90:D109,"천")</f>
        <v>0</v>
      </c>
      <c r="V95" s="787">
        <f>COUNTIF(I90:I109,"천")</f>
        <v>0</v>
      </c>
      <c r="W95" s="770" t="s">
        <v>26</v>
      </c>
      <c r="X95" s="770">
        <f>SUMIF(D90:D109,"천",F90:F109)</f>
        <v>0</v>
      </c>
      <c r="Y95" s="771">
        <f>SUMIF(I90:I109,"천",K90:K109)</f>
        <v>0</v>
      </c>
      <c r="Z95" s="770">
        <f>COUNTIF(AJ90:AJ109,"천국")+COUNTIF(AJ90:AJ109,"천공")</f>
        <v>0</v>
      </c>
      <c r="AA95" s="771">
        <f>COUNTIF(AK90:AK109,"천국")+COUNTIF(AK90:AK109,"천공")</f>
        <v>0</v>
      </c>
      <c r="AB95" s="770" t="s">
        <v>26</v>
      </c>
      <c r="AC95" s="770">
        <f>SUMIF(AJ90:AJ109,"천국",F90:F109)+SUMIF(AJ90:AJ109,"천공",F90:F109)</f>
        <v>0</v>
      </c>
      <c r="AD95" s="771">
        <f>SUMIF(AK90:AK109,"천국",K90:K109)+SUMIF(AK90:AK109,"천공",K90:K109)</f>
        <v>0</v>
      </c>
      <c r="AE95" s="770">
        <f t="shared" si="26"/>
        <v>0</v>
      </c>
      <c r="AF95" s="771">
        <f t="shared" si="27"/>
        <v>0</v>
      </c>
      <c r="AG95" s="770" t="s">
        <v>26</v>
      </c>
      <c r="AH95" s="770">
        <f t="shared" si="28"/>
        <v>0</v>
      </c>
      <c r="AI95" s="771">
        <f t="shared" si="29"/>
        <v>0</v>
      </c>
      <c r="AJ95" s="770" t="str">
        <f t="shared" si="30"/>
        <v>도국</v>
      </c>
      <c r="AK95" s="770" t="str">
        <f t="shared" si="24"/>
        <v/>
      </c>
      <c r="AL95" s="772"/>
      <c r="AM95" s="772"/>
    </row>
    <row r="96" spans="1:39" s="773" customFormat="1" ht="24" customHeight="1" x14ac:dyDescent="0.15">
      <c r="A96" s="818"/>
      <c r="B96" s="775" t="s">
        <v>232</v>
      </c>
      <c r="C96" s="834"/>
      <c r="D96" s="817"/>
      <c r="E96" s="777"/>
      <c r="F96" s="813"/>
      <c r="G96" s="779"/>
      <c r="H96" s="780"/>
      <c r="I96" s="780"/>
      <c r="J96" s="781"/>
      <c r="K96" s="781"/>
      <c r="L96" s="836"/>
      <c r="M96" s="837"/>
      <c r="N96" s="838"/>
      <c r="O96" s="826"/>
      <c r="P96" s="815"/>
      <c r="Q96" s="815"/>
      <c r="R96" s="815"/>
      <c r="S96" s="785"/>
      <c r="T96" s="770" t="s">
        <v>33</v>
      </c>
      <c r="U96" s="770">
        <f>COUNTIF(D90:D109,"구")</f>
        <v>0</v>
      </c>
      <c r="V96" s="771">
        <f>COUNTIF(I90:I109,"구")</f>
        <v>0</v>
      </c>
      <c r="W96" s="770" t="s">
        <v>26</v>
      </c>
      <c r="X96" s="770">
        <f>SUMIF(D90:D109,"구",F90:F109)</f>
        <v>0</v>
      </c>
      <c r="Y96" s="771">
        <f>SUMIF(I90:I109,"구",K90:K109)</f>
        <v>0</v>
      </c>
      <c r="Z96" s="770">
        <f>COUNTIF(AJ90:AJ109,"구국")+COUNTIF(AJ90:AJ109,"구공")</f>
        <v>0</v>
      </c>
      <c r="AA96" s="771">
        <f>COUNTIF(AK90:AK109,"구국")+COUNTIF(AK90:AK109,"구공")</f>
        <v>0</v>
      </c>
      <c r="AB96" s="770" t="s">
        <v>26</v>
      </c>
      <c r="AC96" s="770">
        <f>SUMIF(AJ90:AJ109,"구국",F90:F109)+SUMIF(AJ90:AJ109,"구공",F90:F109)</f>
        <v>0</v>
      </c>
      <c r="AD96" s="771">
        <f>SUMIF(AK90:AK109,"구국",K90:K109)+SUMIF(AK90:AK109,"구공",K90:K109)</f>
        <v>0</v>
      </c>
      <c r="AE96" s="770">
        <f t="shared" si="26"/>
        <v>0</v>
      </c>
      <c r="AF96" s="771">
        <f t="shared" si="27"/>
        <v>0</v>
      </c>
      <c r="AG96" s="770" t="s">
        <v>26</v>
      </c>
      <c r="AH96" s="770">
        <f t="shared" si="28"/>
        <v>0</v>
      </c>
      <c r="AI96" s="771">
        <f t="shared" si="29"/>
        <v>0</v>
      </c>
      <c r="AJ96" s="770" t="str">
        <f t="shared" si="30"/>
        <v/>
      </c>
      <c r="AK96" s="770" t="str">
        <f t="shared" si="24"/>
        <v/>
      </c>
      <c r="AL96" s="772"/>
      <c r="AM96" s="772"/>
    </row>
    <row r="97" spans="1:39" s="773" customFormat="1" ht="24" customHeight="1" x14ac:dyDescent="0.15">
      <c r="A97" s="818"/>
      <c r="B97" s="775" t="s">
        <v>232</v>
      </c>
      <c r="C97" s="834"/>
      <c r="D97" s="817"/>
      <c r="E97" s="777"/>
      <c r="F97" s="813"/>
      <c r="G97" s="779"/>
      <c r="H97" s="780"/>
      <c r="I97" s="780"/>
      <c r="J97" s="781"/>
      <c r="K97" s="781"/>
      <c r="L97" s="782"/>
      <c r="M97" s="782"/>
      <c r="N97" s="783"/>
      <c r="O97" s="783"/>
      <c r="P97" s="784"/>
      <c r="Q97" s="784"/>
      <c r="R97" s="784"/>
      <c r="S97" s="785"/>
      <c r="T97" s="770" t="s">
        <v>34</v>
      </c>
      <c r="U97" s="770">
        <f>COUNTIF(D90:D109,"제")</f>
        <v>0</v>
      </c>
      <c r="V97" s="771">
        <f>COUNTIF(I90:I109,"제")</f>
        <v>0</v>
      </c>
      <c r="W97" s="770" t="s">
        <v>26</v>
      </c>
      <c r="X97" s="770">
        <f>SUMIF(D90:D109,"제",F90:F109)</f>
        <v>0</v>
      </c>
      <c r="Y97" s="771">
        <f>SUMIF(I90:I109,"제",K90:K109)</f>
        <v>0</v>
      </c>
      <c r="Z97" s="770">
        <f>COUNTIF(AJ90:AJ109,"제국")+COUNTIF(AJ90:AJ109,"제공")</f>
        <v>0</v>
      </c>
      <c r="AA97" s="771">
        <f>COUNTIF(AK90:AK109,"제국")+COUNTIF(AK90:AK109,"제공")</f>
        <v>0</v>
      </c>
      <c r="AB97" s="770" t="s">
        <v>26</v>
      </c>
      <c r="AC97" s="770">
        <f>SUMIF(AJ90:AJ109,"제국",F90:F109)+SUMIF(AJ90:AJ109,"제공",F90:F109)</f>
        <v>0</v>
      </c>
      <c r="AD97" s="771">
        <f>SUMIF(AK90:AK109,"제국",K90:K109)+SUMIF(AK90:AK109,"제공",K90:K109)</f>
        <v>0</v>
      </c>
      <c r="AE97" s="770">
        <f t="shared" si="26"/>
        <v>0</v>
      </c>
      <c r="AF97" s="771">
        <f t="shared" si="27"/>
        <v>0</v>
      </c>
      <c r="AG97" s="770" t="s">
        <v>26</v>
      </c>
      <c r="AH97" s="770">
        <f t="shared" si="28"/>
        <v>0</v>
      </c>
      <c r="AI97" s="771">
        <f t="shared" si="29"/>
        <v>0</v>
      </c>
      <c r="AJ97" s="770" t="str">
        <f t="shared" si="30"/>
        <v/>
      </c>
      <c r="AK97" s="770" t="str">
        <f t="shared" si="24"/>
        <v/>
      </c>
      <c r="AL97" s="772"/>
      <c r="AM97" s="772"/>
    </row>
    <row r="98" spans="1:39" s="773" customFormat="1" ht="24" customHeight="1" x14ac:dyDescent="0.15">
      <c r="A98" s="818"/>
      <c r="B98" s="775" t="s">
        <v>232</v>
      </c>
      <c r="C98" s="834"/>
      <c r="D98" s="839"/>
      <c r="E98" s="813"/>
      <c r="F98" s="813"/>
      <c r="G98" s="779"/>
      <c r="H98" s="840"/>
      <c r="I98" s="841"/>
      <c r="J98" s="830"/>
      <c r="K98" s="830"/>
      <c r="L98" s="788"/>
      <c r="M98" s="788"/>
      <c r="N98" s="789"/>
      <c r="O98" s="789"/>
      <c r="P98" s="815"/>
      <c r="Q98" s="815"/>
      <c r="R98" s="815"/>
      <c r="S98" s="785"/>
      <c r="T98" s="770" t="s">
        <v>46</v>
      </c>
      <c r="U98" s="770">
        <f>COUNTIF(D90:D109,"유")</f>
        <v>0</v>
      </c>
      <c r="V98" s="771">
        <f>COUNTIF(I90:I109,"유")</f>
        <v>0</v>
      </c>
      <c r="W98" s="770" t="s">
        <v>26</v>
      </c>
      <c r="X98" s="770">
        <f>SUMIF(D90:D109,"유",F90:F109)</f>
        <v>0</v>
      </c>
      <c r="Y98" s="771">
        <f>SUMIF(I90:I109,"유",K90:K109)</f>
        <v>0</v>
      </c>
      <c r="Z98" s="770">
        <f>COUNTIF(AJ90:AJ109,"유국")+COUNTIF(AJ90:AJ109,"유공")</f>
        <v>0</v>
      </c>
      <c r="AA98" s="771">
        <f>COUNTIF(AK90:AK109,"유국")+COUNTIF(AK90:AK109,"유공")</f>
        <v>0</v>
      </c>
      <c r="AB98" s="770" t="s">
        <v>26</v>
      </c>
      <c r="AC98" s="770">
        <f>SUMIF(AJ90:AJ109,"유국",F90:F109)+SUMIF(AJ90:AJ109,"유공",F90:F109)</f>
        <v>0</v>
      </c>
      <c r="AD98" s="771">
        <f>SUMIF(AK90:AK109,"유국",K90:K109)+SUMIF(AK90:AK109,"유공",K90:K109)</f>
        <v>0</v>
      </c>
      <c r="AE98" s="770">
        <f t="shared" si="26"/>
        <v>0</v>
      </c>
      <c r="AF98" s="771">
        <f t="shared" si="27"/>
        <v>0</v>
      </c>
      <c r="AG98" s="770" t="s">
        <v>26</v>
      </c>
      <c r="AH98" s="770">
        <f t="shared" si="28"/>
        <v>0</v>
      </c>
      <c r="AI98" s="771">
        <f t="shared" si="29"/>
        <v>0</v>
      </c>
      <c r="AJ98" s="770" t="str">
        <f t="shared" si="30"/>
        <v/>
      </c>
      <c r="AK98" s="770" t="str">
        <f t="shared" si="24"/>
        <v/>
      </c>
      <c r="AL98" s="772"/>
      <c r="AM98" s="772"/>
    </row>
    <row r="99" spans="1:39" s="773" customFormat="1" ht="24" customHeight="1" x14ac:dyDescent="0.15">
      <c r="A99" s="818"/>
      <c r="B99" s="775" t="s">
        <v>232</v>
      </c>
      <c r="C99" s="812"/>
      <c r="D99" s="776"/>
      <c r="E99" s="778"/>
      <c r="F99" s="813"/>
      <c r="G99" s="779"/>
      <c r="H99" s="814"/>
      <c r="I99" s="780"/>
      <c r="J99" s="781"/>
      <c r="K99" s="781"/>
      <c r="L99" s="784"/>
      <c r="M99" s="820"/>
      <c r="N99" s="819"/>
      <c r="O99" s="821"/>
      <c r="P99" s="784"/>
      <c r="Q99" s="784"/>
      <c r="R99" s="784"/>
      <c r="S99" s="810"/>
      <c r="T99" s="770" t="s">
        <v>47</v>
      </c>
      <c r="U99" s="770">
        <f>COUNTIF(D90:D109,"과")</f>
        <v>0</v>
      </c>
      <c r="V99" s="771">
        <f>COUNTIF(I90:I109,"과")</f>
        <v>0</v>
      </c>
      <c r="W99" s="770" t="s">
        <v>26</v>
      </c>
      <c r="X99" s="770">
        <f>SUMIF(D90:D109,"과",F90:F109)</f>
        <v>0</v>
      </c>
      <c r="Y99" s="771">
        <f>SUMIF(I90:I109,"과",K90:K109)</f>
        <v>0</v>
      </c>
      <c r="Z99" s="770">
        <f>COUNTIF(AJ90:AJ109,"과국")+COUNTIF(AJ90:AJ109,"과공")</f>
        <v>0</v>
      </c>
      <c r="AA99" s="771">
        <f>COUNTIF(AK90:AK109,"과국")+COUNTIF(AK90:AK109,"과공")</f>
        <v>0</v>
      </c>
      <c r="AB99" s="770" t="s">
        <v>26</v>
      </c>
      <c r="AC99" s="770">
        <f>SUMIF(AJ90:AJ109,"과국",F90:F109)+SUMIF(AJ90:AJ109,"과공",F90:F109)</f>
        <v>0</v>
      </c>
      <c r="AD99" s="771">
        <f>SUMIF(AK90:AK109,"과국",K90:K109)+SUMIF(AK90:AK109,"과공",K90:K109)</f>
        <v>0</v>
      </c>
      <c r="AE99" s="770">
        <f t="shared" si="26"/>
        <v>0</v>
      </c>
      <c r="AF99" s="771">
        <f t="shared" si="27"/>
        <v>0</v>
      </c>
      <c r="AG99" s="770" t="s">
        <v>26</v>
      </c>
      <c r="AH99" s="770">
        <f t="shared" si="28"/>
        <v>0</v>
      </c>
      <c r="AI99" s="771">
        <f t="shared" si="29"/>
        <v>0</v>
      </c>
      <c r="AJ99" s="770" t="str">
        <f t="shared" si="30"/>
        <v/>
      </c>
      <c r="AK99" s="770" t="str">
        <f t="shared" si="24"/>
        <v/>
      </c>
      <c r="AL99" s="772"/>
      <c r="AM99" s="772"/>
    </row>
    <row r="100" spans="1:39" s="773" customFormat="1" ht="24" customHeight="1" x14ac:dyDescent="0.15">
      <c r="A100" s="818"/>
      <c r="B100" s="775" t="s">
        <v>232</v>
      </c>
      <c r="C100" s="834"/>
      <c r="D100" s="839"/>
      <c r="E100" s="813"/>
      <c r="F100" s="813"/>
      <c r="G100" s="779"/>
      <c r="H100" s="842"/>
      <c r="I100" s="842"/>
      <c r="J100" s="843"/>
      <c r="K100" s="843"/>
      <c r="L100" s="782"/>
      <c r="M100" s="782"/>
      <c r="N100" s="783"/>
      <c r="O100" s="783"/>
      <c r="P100" s="844"/>
      <c r="Q100" s="844"/>
      <c r="R100" s="844"/>
      <c r="S100" s="810"/>
      <c r="T100" s="770" t="s">
        <v>36</v>
      </c>
      <c r="U100" s="770">
        <f>COUNTIF(D90:D109,"묘")</f>
        <v>0</v>
      </c>
      <c r="V100" s="771">
        <f>COUNTIF(I90:I109,"묘")</f>
        <v>0</v>
      </c>
      <c r="W100" s="770" t="s">
        <v>26</v>
      </c>
      <c r="X100" s="770">
        <f>SUMIF(D90:D109,"묘",F90:F109)</f>
        <v>0</v>
      </c>
      <c r="Y100" s="771">
        <f>SUMIF(I90:I109,"묘",K90:K109)</f>
        <v>0</v>
      </c>
      <c r="Z100" s="770">
        <f>COUNTIF(AJ90:AJ109,"묘국")+COUNTIF(AJ90:AJ109,"묘공")</f>
        <v>0</v>
      </c>
      <c r="AA100" s="771">
        <f>COUNTIF(AK90:AK109,"묘국")+COUNTIF(AK90:AK109,"묘공")</f>
        <v>0</v>
      </c>
      <c r="AB100" s="770" t="s">
        <v>26</v>
      </c>
      <c r="AC100" s="770">
        <f>SUMIF(AJ90:AJ109,"묘국",F90:F109)+SUMIF(AJ90:AJ109,"묘공",F90:F109)</f>
        <v>0</v>
      </c>
      <c r="AD100" s="771">
        <f>SUMIF(AK90:AK109,"묘국",K90:K109)+SUMIF(AK90:AK109,"묘공",K90:K109)</f>
        <v>0</v>
      </c>
      <c r="AE100" s="770">
        <f t="shared" si="26"/>
        <v>0</v>
      </c>
      <c r="AF100" s="771">
        <f t="shared" si="27"/>
        <v>0</v>
      </c>
      <c r="AG100" s="770" t="s">
        <v>26</v>
      </c>
      <c r="AH100" s="770">
        <f t="shared" si="28"/>
        <v>0</v>
      </c>
      <c r="AI100" s="771">
        <f t="shared" si="29"/>
        <v>0</v>
      </c>
      <c r="AJ100" s="770" t="str">
        <f t="shared" si="30"/>
        <v/>
      </c>
      <c r="AK100" s="770" t="str">
        <f t="shared" si="24"/>
        <v/>
      </c>
      <c r="AL100" s="772"/>
      <c r="AM100" s="772"/>
    </row>
    <row r="101" spans="1:39" s="773" customFormat="1" ht="24" customHeight="1" x14ac:dyDescent="0.15">
      <c r="A101" s="818"/>
      <c r="B101" s="775" t="s">
        <v>232</v>
      </c>
      <c r="C101" s="834"/>
      <c r="D101" s="817"/>
      <c r="E101" s="777"/>
      <c r="F101" s="813"/>
      <c r="G101" s="779"/>
      <c r="H101" s="840"/>
      <c r="I101" s="842"/>
      <c r="J101" s="843"/>
      <c r="K101" s="843"/>
      <c r="L101" s="782"/>
      <c r="M101" s="782"/>
      <c r="N101" s="783"/>
      <c r="O101" s="783"/>
      <c r="P101" s="845"/>
      <c r="Q101" s="845"/>
      <c r="R101" s="815"/>
      <c r="S101" s="785"/>
      <c r="T101" s="770" t="s">
        <v>39</v>
      </c>
      <c r="U101" s="770">
        <f>COUNTIF(D90:D109,"수")</f>
        <v>0</v>
      </c>
      <c r="V101" s="771">
        <f>COUNTIF(I90:I109,"수")</f>
        <v>0</v>
      </c>
      <c r="W101" s="770" t="s">
        <v>26</v>
      </c>
      <c r="X101" s="770">
        <f>SUMIF(D90:D109,"수",F90:F109)</f>
        <v>0</v>
      </c>
      <c r="Y101" s="771">
        <f>SUMIF(I90:I109,"수",K90:K109)</f>
        <v>0</v>
      </c>
      <c r="Z101" s="770">
        <f>COUNTIF(AJ90:AJ109,"수국")+COUNTIF(AJ90:AJ109,"수공")</f>
        <v>0</v>
      </c>
      <c r="AA101" s="771">
        <f>COUNTIF(AK90:AK109,"수국")+COUNTIF(AK90:AK109,"수공")</f>
        <v>0</v>
      </c>
      <c r="AB101" s="770" t="s">
        <v>26</v>
      </c>
      <c r="AC101" s="770">
        <f>SUMIF(AJ90:AJ109,"수국",F90:F109)+SUMIF(AJ90:AJ109,"수공",F90:F109)</f>
        <v>0</v>
      </c>
      <c r="AD101" s="771">
        <f>SUMIF(AK90:AK109,"수국",K90:K109)+SUMIF(AK90:AK109,"수공",K90:K109)</f>
        <v>0</v>
      </c>
      <c r="AE101" s="770">
        <f t="shared" si="26"/>
        <v>0</v>
      </c>
      <c r="AF101" s="771">
        <f t="shared" si="27"/>
        <v>0</v>
      </c>
      <c r="AG101" s="770" t="s">
        <v>26</v>
      </c>
      <c r="AH101" s="770">
        <f t="shared" si="28"/>
        <v>0</v>
      </c>
      <c r="AI101" s="771">
        <f t="shared" si="29"/>
        <v>0</v>
      </c>
      <c r="AJ101" s="770" t="str">
        <f t="shared" si="30"/>
        <v/>
      </c>
      <c r="AK101" s="770" t="str">
        <f t="shared" si="24"/>
        <v/>
      </c>
      <c r="AL101" s="772"/>
      <c r="AM101" s="772"/>
    </row>
    <row r="102" spans="1:39" s="773" customFormat="1" ht="24" customHeight="1" x14ac:dyDescent="0.15">
      <c r="A102" s="818"/>
      <c r="B102" s="775" t="s">
        <v>232</v>
      </c>
      <c r="C102" s="835"/>
      <c r="D102" s="776"/>
      <c r="E102" s="778"/>
      <c r="F102" s="778"/>
      <c r="G102" s="779"/>
      <c r="H102" s="840"/>
      <c r="I102" s="842"/>
      <c r="J102" s="843"/>
      <c r="K102" s="843"/>
      <c r="L102" s="782"/>
      <c r="M102" s="782"/>
      <c r="N102" s="783"/>
      <c r="O102" s="783"/>
      <c r="P102" s="784"/>
      <c r="Q102" s="784"/>
      <c r="R102" s="784"/>
      <c r="S102" s="785"/>
      <c r="T102" s="770" t="s">
        <v>35</v>
      </c>
      <c r="U102" s="770">
        <f>COUNTIF(D90:D109,"잡")</f>
        <v>0</v>
      </c>
      <c r="V102" s="771">
        <f>COUNTIF(I90:I109,"잡")</f>
        <v>0</v>
      </c>
      <c r="W102" s="770" t="s">
        <v>26</v>
      </c>
      <c r="X102" s="770">
        <f>SUMIF(D90:D109,"잡",F90:F109)</f>
        <v>0</v>
      </c>
      <c r="Y102" s="771">
        <f>SUMIF(I90:I109,"잡",K90:K109)</f>
        <v>0</v>
      </c>
      <c r="Z102" s="770">
        <f>COUNTIF(AJ90:AJ109,"잡국")+COUNTIF(AJ90:AJ109,"잡공")</f>
        <v>0</v>
      </c>
      <c r="AA102" s="771">
        <f>COUNTIF(AK90:AK109,"잡국")+COUNTIF(AK90:AK109,"잡공")</f>
        <v>0</v>
      </c>
      <c r="AB102" s="770" t="s">
        <v>26</v>
      </c>
      <c r="AC102" s="770">
        <f>SUMIF(AJ90:AJ109,"잡국",F90:F109)+SUMIF(AJ90:AJ109,"잡공",F90:F109)</f>
        <v>0</v>
      </c>
      <c r="AD102" s="771">
        <f>SUMIF(AK90:AK109,"잡국",K90:K109)+SUMIF(AK90:AK109,"잡공",K90:K109)</f>
        <v>0</v>
      </c>
      <c r="AE102" s="770">
        <f t="shared" si="26"/>
        <v>0</v>
      </c>
      <c r="AF102" s="771">
        <f t="shared" si="27"/>
        <v>0</v>
      </c>
      <c r="AG102" s="770" t="s">
        <v>26</v>
      </c>
      <c r="AH102" s="770">
        <f t="shared" si="28"/>
        <v>0</v>
      </c>
      <c r="AI102" s="771">
        <f t="shared" si="29"/>
        <v>0</v>
      </c>
      <c r="AJ102" s="770" t="str">
        <f t="shared" si="30"/>
        <v/>
      </c>
      <c r="AK102" s="770" t="str">
        <f t="shared" si="24"/>
        <v/>
      </c>
      <c r="AL102" s="772"/>
      <c r="AM102" s="772"/>
    </row>
    <row r="103" spans="1:39" s="773" customFormat="1" ht="24" customHeight="1" x14ac:dyDescent="0.15">
      <c r="A103" s="818"/>
      <c r="B103" s="775" t="s">
        <v>232</v>
      </c>
      <c r="C103" s="835"/>
      <c r="D103" s="775"/>
      <c r="E103" s="778"/>
      <c r="F103" s="778"/>
      <c r="G103" s="779"/>
      <c r="H103" s="842"/>
      <c r="I103" s="842"/>
      <c r="J103" s="843"/>
      <c r="K103" s="843"/>
      <c r="L103" s="782"/>
      <c r="M103" s="782"/>
      <c r="N103" s="783"/>
      <c r="O103" s="783"/>
      <c r="P103" s="815"/>
      <c r="Q103" s="815"/>
      <c r="R103" s="815"/>
      <c r="S103" s="810"/>
      <c r="T103" s="770" t="s">
        <v>51</v>
      </c>
      <c r="U103" s="770">
        <f>COUNTIF(D90:D109,"체")</f>
        <v>0</v>
      </c>
      <c r="V103" s="771">
        <f>COUNTIF(I90:I109,"체")</f>
        <v>0</v>
      </c>
      <c r="W103" s="770" t="s">
        <v>26</v>
      </c>
      <c r="X103" s="770">
        <f>SUMIF(D90:D109,"체",F90:F109)</f>
        <v>0</v>
      </c>
      <c r="Y103" s="771">
        <f>SUMIF(I90:I109,"체",K90:K109)</f>
        <v>0</v>
      </c>
      <c r="Z103" s="770">
        <f>COUNTIF(AJ90:AJ109,"체국")+COUNTIF(AJ90:AJ109,"체공")</f>
        <v>0</v>
      </c>
      <c r="AA103" s="771">
        <f>COUNTIF(AK90:AK109,"체국")+COUNTIF(AK90:AK109,"체공")</f>
        <v>0</v>
      </c>
      <c r="AB103" s="770" t="s">
        <v>26</v>
      </c>
      <c r="AC103" s="770">
        <f>SUMIF(AJ90:AJ109,"체국",F90:F109)+SUMIF(AJ90:AJ109,"체공",F90:F109)</f>
        <v>0</v>
      </c>
      <c r="AD103" s="771">
        <f>SUMIF(AK90:AK109,"체국",K90:K109)+SUMIF(AK90:AK109,"체공",K90:K109)</f>
        <v>0</v>
      </c>
      <c r="AE103" s="770">
        <f t="shared" si="26"/>
        <v>0</v>
      </c>
      <c r="AF103" s="771">
        <f t="shared" si="27"/>
        <v>0</v>
      </c>
      <c r="AG103" s="770" t="s">
        <v>26</v>
      </c>
      <c r="AH103" s="770">
        <f t="shared" si="28"/>
        <v>0</v>
      </c>
      <c r="AI103" s="771">
        <f t="shared" si="29"/>
        <v>0</v>
      </c>
      <c r="AJ103" s="770" t="str">
        <f t="shared" si="30"/>
        <v/>
      </c>
      <c r="AK103" s="770" t="str">
        <f t="shared" si="24"/>
        <v/>
      </c>
      <c r="AL103" s="772"/>
      <c r="AM103" s="772"/>
    </row>
    <row r="104" spans="1:39" s="773" customFormat="1" ht="24" customHeight="1" x14ac:dyDescent="0.15">
      <c r="A104" s="818"/>
      <c r="B104" s="775" t="s">
        <v>232</v>
      </c>
      <c r="C104" s="834"/>
      <c r="D104" s="817"/>
      <c r="E104" s="777"/>
      <c r="F104" s="813"/>
      <c r="G104" s="779"/>
      <c r="H104" s="842"/>
      <c r="I104" s="842"/>
      <c r="J104" s="843"/>
      <c r="K104" s="843"/>
      <c r="L104" s="782"/>
      <c r="M104" s="782"/>
      <c r="N104" s="783"/>
      <c r="O104" s="783"/>
      <c r="P104" s="815"/>
      <c r="Q104" s="815"/>
      <c r="R104" s="845"/>
      <c r="S104" s="810"/>
      <c r="T104" s="770" t="s">
        <v>50</v>
      </c>
      <c r="U104" s="770">
        <f>COUNTIF(D90:D109,"공")</f>
        <v>0</v>
      </c>
      <c r="V104" s="771">
        <f>COUNTIF(I90:I109,"공")</f>
        <v>0</v>
      </c>
      <c r="W104" s="770" t="s">
        <v>26</v>
      </c>
      <c r="X104" s="770">
        <f>SUMIF(D90:D109,"공",F90:F109)</f>
        <v>0</v>
      </c>
      <c r="Y104" s="771">
        <f>SUMIF(I90:I109,"공",K90:K109)</f>
        <v>0</v>
      </c>
      <c r="Z104" s="770">
        <f>COUNTIF(AJ90:AJ109,"공국")+COUNTIF(AJ90:AJ109,"공공")</f>
        <v>0</v>
      </c>
      <c r="AA104" s="771">
        <f>COUNTIF(AK90:AK109,"공국")+COUNTIF(AK90:AK109,"공공")</f>
        <v>0</v>
      </c>
      <c r="AB104" s="770" t="s">
        <v>26</v>
      </c>
      <c r="AC104" s="770">
        <f>SUMIF(AJ90:AJ109,"공국",F90:F109)+SUMIF(AJ90:AJ109,"공공",F90:F109)</f>
        <v>0</v>
      </c>
      <c r="AD104" s="771">
        <f>SUMIF(AK90:AK109,"공국",K90:K109)+SUMIF(AK90:AK109,"공공",K90:K109)</f>
        <v>0</v>
      </c>
      <c r="AE104" s="770">
        <f t="shared" si="26"/>
        <v>0</v>
      </c>
      <c r="AF104" s="771">
        <f t="shared" si="27"/>
        <v>0</v>
      </c>
      <c r="AG104" s="770" t="s">
        <v>26</v>
      </c>
      <c r="AH104" s="770">
        <f t="shared" si="28"/>
        <v>0</v>
      </c>
      <c r="AI104" s="771">
        <f t="shared" si="29"/>
        <v>0</v>
      </c>
      <c r="AJ104" s="770" t="str">
        <f t="shared" si="30"/>
        <v/>
      </c>
      <c r="AK104" s="770" t="str">
        <f t="shared" si="24"/>
        <v/>
      </c>
      <c r="AL104" s="772"/>
      <c r="AM104" s="772"/>
    </row>
    <row r="105" spans="1:39" s="773" customFormat="1" ht="24" customHeight="1" x14ac:dyDescent="0.15">
      <c r="A105" s="818"/>
      <c r="B105" s="775" t="s">
        <v>232</v>
      </c>
      <c r="C105" s="835"/>
      <c r="D105" s="776"/>
      <c r="E105" s="813"/>
      <c r="F105" s="813"/>
      <c r="G105" s="779"/>
      <c r="H105" s="846"/>
      <c r="I105" s="840"/>
      <c r="J105" s="847"/>
      <c r="K105" s="779"/>
      <c r="L105" s="782"/>
      <c r="M105" s="837"/>
      <c r="N105" s="783"/>
      <c r="O105" s="826"/>
      <c r="P105" s="832"/>
      <c r="Q105" s="832"/>
      <c r="R105" s="832"/>
      <c r="S105" s="785"/>
      <c r="T105" s="791" t="s">
        <v>40</v>
      </c>
      <c r="U105" s="770">
        <f>COUNTIF(D90:D109,"장")</f>
        <v>0</v>
      </c>
      <c r="V105" s="771">
        <f>COUNTIF(I90:I109,"장")</f>
        <v>0</v>
      </c>
      <c r="W105" s="770" t="s">
        <v>26</v>
      </c>
      <c r="X105" s="770">
        <f>SUMIF(D90:D109,"장",F90:F109)</f>
        <v>0</v>
      </c>
      <c r="Y105" s="771">
        <f>SUMIF(I90:I109,"장",K90:K109)</f>
        <v>0</v>
      </c>
      <c r="Z105" s="770">
        <f>COUNTIF(AJ90:AJ109,"장국")+COUNTIF(AJ90:AJ109,"장공")</f>
        <v>0</v>
      </c>
      <c r="AA105" s="771">
        <f>COUNTIF(AK90:AK109,"장국")+COUNTIF(AK90:AK109,"장공")</f>
        <v>0</v>
      </c>
      <c r="AB105" s="770" t="s">
        <v>26</v>
      </c>
      <c r="AC105" s="770">
        <f>SUMIF(AJ90:AJ109,"장국",F90:F109)+SUMIF(AJ90:AJ109,"장공",F90:F109)</f>
        <v>0</v>
      </c>
      <c r="AD105" s="771">
        <f>SUMIF(AK90:AK109,"장국",K90:K109)+SUMIF(AK90:AK109,"장공",K90:K109)</f>
        <v>0</v>
      </c>
      <c r="AE105" s="770">
        <f t="shared" si="26"/>
        <v>0</v>
      </c>
      <c r="AF105" s="771">
        <f t="shared" si="27"/>
        <v>0</v>
      </c>
      <c r="AG105" s="770" t="s">
        <v>26</v>
      </c>
      <c r="AH105" s="770">
        <f t="shared" si="28"/>
        <v>0</v>
      </c>
      <c r="AI105" s="771">
        <f t="shared" si="29"/>
        <v>0</v>
      </c>
      <c r="AJ105" s="770" t="str">
        <f t="shared" si="30"/>
        <v/>
      </c>
      <c r="AK105" s="770" t="str">
        <f t="shared" si="24"/>
        <v/>
      </c>
      <c r="AL105" s="772"/>
      <c r="AM105" s="772"/>
    </row>
    <row r="106" spans="1:39" s="773" customFormat="1" ht="24" customHeight="1" x14ac:dyDescent="0.15">
      <c r="A106" s="818"/>
      <c r="B106" s="775" t="s">
        <v>232</v>
      </c>
      <c r="C106" s="1016"/>
      <c r="D106" s="1016"/>
      <c r="E106" s="1033"/>
      <c r="F106" s="1033"/>
      <c r="G106" s="1015"/>
      <c r="H106" s="1025"/>
      <c r="I106" s="1025"/>
      <c r="J106" s="1036"/>
      <c r="K106" s="1036"/>
      <c r="L106" s="1016"/>
      <c r="M106" s="1016"/>
      <c r="N106" s="1025"/>
      <c r="O106" s="1025"/>
      <c r="P106" s="832"/>
      <c r="Q106" s="832"/>
      <c r="R106" s="784"/>
      <c r="S106" s="810"/>
      <c r="T106" s="791" t="s">
        <v>79</v>
      </c>
      <c r="U106" s="770">
        <f>COUNTIF(D90:D109,"목")</f>
        <v>0</v>
      </c>
      <c r="V106" s="771">
        <f>COUNTIF(I90:I109,"목")</f>
        <v>0</v>
      </c>
      <c r="W106" s="770" t="s">
        <v>26</v>
      </c>
      <c r="X106" s="770">
        <f>SUMIF(D90:D109,"목",F90:F109)</f>
        <v>0</v>
      </c>
      <c r="Y106" s="771">
        <f>SUMIF(I90:I109,"목",K90:K109)</f>
        <v>0</v>
      </c>
      <c r="Z106" s="770">
        <f>COUNTIF(AJ90:AJ109,"목국")+COUNTIF(AJ90:AJ109,"목공")</f>
        <v>0</v>
      </c>
      <c r="AA106" s="771">
        <f>COUNTIF(AK90:AK109,"목국")+COUNTIF(AK90:AK109,"목공")</f>
        <v>0</v>
      </c>
      <c r="AB106" s="770" t="s">
        <v>26</v>
      </c>
      <c r="AC106" s="770">
        <f>SUMIF(AJ90:AJ109,"목국",F90:F109)+SUMIF(AJ90:AJ109,"목공",F90:F109)</f>
        <v>0</v>
      </c>
      <c r="AD106" s="771">
        <f>SUMIF(AK90:AK109,"목국",K90:K109)+SUMIF(AK90:AK109,"목공",K90:K109)</f>
        <v>0</v>
      </c>
      <c r="AE106" s="770">
        <f t="shared" si="26"/>
        <v>0</v>
      </c>
      <c r="AF106" s="771">
        <f t="shared" si="27"/>
        <v>0</v>
      </c>
      <c r="AG106" s="770" t="s">
        <v>26</v>
      </c>
      <c r="AH106" s="770">
        <f t="shared" si="28"/>
        <v>0</v>
      </c>
      <c r="AI106" s="771">
        <f t="shared" si="29"/>
        <v>0</v>
      </c>
      <c r="AJ106" s="770" t="str">
        <f t="shared" si="30"/>
        <v/>
      </c>
      <c r="AK106" s="770" t="str">
        <f t="shared" si="24"/>
        <v/>
      </c>
      <c r="AL106" s="772"/>
      <c r="AM106" s="772"/>
    </row>
    <row r="107" spans="1:39" s="773" customFormat="1" ht="24" customHeight="1" x14ac:dyDescent="0.15">
      <c r="A107" s="818"/>
      <c r="B107" s="775" t="s">
        <v>232</v>
      </c>
      <c r="C107" s="1016"/>
      <c r="D107" s="1016"/>
      <c r="E107" s="1033"/>
      <c r="F107" s="1033"/>
      <c r="G107" s="1015"/>
      <c r="H107" s="1025"/>
      <c r="I107" s="1025"/>
      <c r="J107" s="1036"/>
      <c r="K107" s="1036"/>
      <c r="L107" s="1016"/>
      <c r="M107" s="1016"/>
      <c r="N107" s="1025"/>
      <c r="O107" s="1025"/>
      <c r="P107" s="815"/>
      <c r="Q107" s="815"/>
      <c r="R107" s="784"/>
      <c r="S107" s="785"/>
      <c r="T107" s="791"/>
      <c r="U107" s="791"/>
      <c r="V107" s="792"/>
      <c r="W107" s="791"/>
      <c r="X107" s="791"/>
      <c r="Y107" s="792"/>
      <c r="Z107" s="770"/>
      <c r="AA107" s="771"/>
      <c r="AB107" s="791"/>
      <c r="AC107" s="770"/>
      <c r="AD107" s="771"/>
      <c r="AE107" s="791"/>
      <c r="AF107" s="792"/>
      <c r="AG107" s="791"/>
      <c r="AH107" s="791"/>
      <c r="AI107" s="792"/>
      <c r="AJ107" s="770" t="str">
        <f t="shared" si="30"/>
        <v/>
      </c>
      <c r="AK107" s="770" t="str">
        <f t="shared" si="24"/>
        <v/>
      </c>
      <c r="AL107" s="772"/>
      <c r="AM107" s="772"/>
    </row>
    <row r="108" spans="1:39" s="773" customFormat="1" ht="24" customHeight="1" x14ac:dyDescent="0.15">
      <c r="A108" s="818"/>
      <c r="B108" s="775" t="s">
        <v>232</v>
      </c>
      <c r="C108" s="835"/>
      <c r="D108" s="776"/>
      <c r="E108" s="813"/>
      <c r="F108" s="813"/>
      <c r="G108" s="779"/>
      <c r="H108" s="846"/>
      <c r="I108" s="848"/>
      <c r="J108" s="779"/>
      <c r="K108" s="779"/>
      <c r="L108" s="849"/>
      <c r="M108" s="837"/>
      <c r="N108" s="850"/>
      <c r="O108" s="826"/>
      <c r="P108" s="809"/>
      <c r="Q108" s="809"/>
      <c r="R108" s="809"/>
      <c r="S108" s="785"/>
      <c r="T108" s="791"/>
      <c r="U108" s="791"/>
      <c r="V108" s="792"/>
      <c r="W108" s="791"/>
      <c r="X108" s="791"/>
      <c r="Y108" s="792"/>
      <c r="Z108" s="770"/>
      <c r="AA108" s="771"/>
      <c r="AB108" s="791"/>
      <c r="AC108" s="770"/>
      <c r="AD108" s="771"/>
      <c r="AE108" s="791"/>
      <c r="AF108" s="792"/>
      <c r="AG108" s="791"/>
      <c r="AH108" s="791"/>
      <c r="AI108" s="792"/>
      <c r="AJ108" s="770" t="str">
        <f t="shared" si="30"/>
        <v/>
      </c>
      <c r="AK108" s="770" t="str">
        <f t="shared" si="24"/>
        <v/>
      </c>
      <c r="AL108" s="772"/>
      <c r="AM108" s="772"/>
    </row>
    <row r="109" spans="1:39" s="773" customFormat="1" ht="24" customHeight="1" x14ac:dyDescent="0.15">
      <c r="A109" s="818"/>
      <c r="B109" s="775" t="s">
        <v>232</v>
      </c>
      <c r="C109" s="834"/>
      <c r="D109" s="817"/>
      <c r="E109" s="777"/>
      <c r="F109" s="813"/>
      <c r="G109" s="779"/>
      <c r="H109" s="851"/>
      <c r="I109" s="851"/>
      <c r="J109" s="843"/>
      <c r="K109" s="843"/>
      <c r="L109" s="782"/>
      <c r="M109" s="782"/>
      <c r="N109" s="783"/>
      <c r="O109" s="826"/>
      <c r="P109" s="809"/>
      <c r="Q109" s="809"/>
      <c r="R109" s="809"/>
      <c r="S109" s="785"/>
      <c r="T109" s="794" t="s">
        <v>37</v>
      </c>
      <c r="U109" s="794">
        <f>COUNTIF(D90:D109,"철")</f>
        <v>0</v>
      </c>
      <c r="V109" s="795">
        <f>COUNTIF(I90:I109,"철")</f>
        <v>0</v>
      </c>
      <c r="W109" s="794" t="s">
        <v>26</v>
      </c>
      <c r="X109" s="794">
        <f>SUMIF(D90:D109,"철",F90:F109)</f>
        <v>0</v>
      </c>
      <c r="Y109" s="795">
        <f>SUMIF(I90:I109,"철",K90:K109)</f>
        <v>0</v>
      </c>
      <c r="Z109" s="770">
        <f>COUNTIF(AJ90:AJ109,"철국")+COUNTIF(AJ90:AJ109,"철공")</f>
        <v>0</v>
      </c>
      <c r="AA109" s="771">
        <f>COUNTIF(AK90:AK109,"철국")+COUNTIF(AK90:AK109,"철공")</f>
        <v>0</v>
      </c>
      <c r="AB109" s="794" t="s">
        <v>26</v>
      </c>
      <c r="AC109" s="770">
        <f>SUMIF(AJ90:AJ109,"철국",F90:F109)+SUMIF(AJ90:AJ109,"철공",F90:F109)</f>
        <v>0</v>
      </c>
      <c r="AD109" s="771">
        <f>SUMIF(AK90:AK109,"철국",K90:K109)+SUMIF(AK90:AK109,"철공",K90:K109)</f>
        <v>0</v>
      </c>
      <c r="AE109" s="794"/>
      <c r="AF109" s="795"/>
      <c r="AG109" s="794"/>
      <c r="AH109" s="794"/>
      <c r="AI109" s="795"/>
      <c r="AJ109" s="770" t="str">
        <f t="shared" si="30"/>
        <v/>
      </c>
      <c r="AK109" s="770" t="str">
        <f t="shared" si="24"/>
        <v/>
      </c>
      <c r="AL109" s="772"/>
      <c r="AM109" s="772"/>
    </row>
    <row r="110" spans="1:39" s="755" customFormat="1" ht="24" customHeight="1" thickBot="1" x14ac:dyDescent="0.2">
      <c r="A110" s="796" t="s">
        <v>48</v>
      </c>
      <c r="B110" s="797"/>
      <c r="C110" s="797"/>
      <c r="D110" s="797"/>
      <c r="E110" s="797"/>
      <c r="F110" s="798">
        <f>SUM(F90:F109)</f>
        <v>1483</v>
      </c>
      <c r="G110" s="799"/>
      <c r="H110" s="799"/>
      <c r="I110" s="827"/>
      <c r="J110" s="828"/>
      <c r="K110" s="829">
        <f>SUM(K90:K109)</f>
        <v>0</v>
      </c>
      <c r="L110" s="803"/>
      <c r="M110" s="803"/>
      <c r="N110" s="804"/>
      <c r="O110" s="804"/>
      <c r="P110" s="803"/>
      <c r="Q110" s="803"/>
      <c r="R110" s="803"/>
      <c r="S110" s="805"/>
      <c r="T110" s="806" t="s">
        <v>24</v>
      </c>
      <c r="U110" s="807">
        <f t="shared" ref="U110:AA110" si="31">SUM(U90:U109)</f>
        <v>6</v>
      </c>
      <c r="V110" s="807">
        <f t="shared" si="31"/>
        <v>0</v>
      </c>
      <c r="W110" s="807">
        <f t="shared" si="31"/>
        <v>0</v>
      </c>
      <c r="X110" s="807">
        <f t="shared" si="31"/>
        <v>1483</v>
      </c>
      <c r="Y110" s="807">
        <f t="shared" si="31"/>
        <v>0</v>
      </c>
      <c r="Z110" s="822">
        <f t="shared" si="31"/>
        <v>1</v>
      </c>
      <c r="AA110" s="823">
        <f t="shared" si="31"/>
        <v>0</v>
      </c>
      <c r="AB110" s="822" t="s">
        <v>26</v>
      </c>
      <c r="AC110" s="822">
        <f>SUM(AC90:AC109)</f>
        <v>82</v>
      </c>
      <c r="AD110" s="823">
        <f>SUM(AD90:AD109)</f>
        <v>0</v>
      </c>
      <c r="AE110" s="807">
        <f>SUM(AE90:AE109)</f>
        <v>5</v>
      </c>
      <c r="AF110" s="807">
        <f>SUM(AF90:AF109)</f>
        <v>0</v>
      </c>
      <c r="AG110" s="807" t="s">
        <v>26</v>
      </c>
      <c r="AH110" s="807">
        <f>SUM(AH90:AH109)</f>
        <v>1401</v>
      </c>
      <c r="AI110" s="807">
        <f>SUM(AI90:AI109)</f>
        <v>0</v>
      </c>
      <c r="AJ110" s="807"/>
      <c r="AK110" s="770" t="str">
        <f t="shared" si="24"/>
        <v/>
      </c>
    </row>
    <row r="111" spans="1:39" s="773" customFormat="1" ht="24" hidden="1" customHeight="1" x14ac:dyDescent="0.15">
      <c r="A111" s="824">
        <v>101</v>
      </c>
      <c r="B111" s="762"/>
      <c r="C111" s="852"/>
      <c r="D111" s="763"/>
      <c r="E111" s="853"/>
      <c r="F111" s="764"/>
      <c r="G111" s="765"/>
      <c r="H111" s="854"/>
      <c r="I111" s="855"/>
      <c r="J111" s="856"/>
      <c r="K111" s="765"/>
      <c r="L111" s="768"/>
      <c r="M111" s="857"/>
      <c r="N111" s="858"/>
      <c r="O111" s="859"/>
      <c r="P111" s="768"/>
      <c r="Q111" s="768"/>
      <c r="R111" s="768"/>
      <c r="S111" s="769"/>
      <c r="T111" s="770" t="s">
        <v>27</v>
      </c>
      <c r="U111" s="770">
        <f>COUNTIF(D111:D130,"전")</f>
        <v>0</v>
      </c>
      <c r="V111" s="771">
        <f>COUNTIF(I111:I130,"전")</f>
        <v>0</v>
      </c>
      <c r="W111" s="770" t="s">
        <v>26</v>
      </c>
      <c r="X111" s="770">
        <f>SUMIF(D111:D130,"전",F111:F130)</f>
        <v>0</v>
      </c>
      <c r="Y111" s="771">
        <f>SUMIF(I111:I130,"전",K111:K130)</f>
        <v>0</v>
      </c>
      <c r="Z111" s="770">
        <f>COUNTIF(AJ111:AJ130,"전국")+COUNTIF(AJ111:AJ130,"전공")</f>
        <v>0</v>
      </c>
      <c r="AA111" s="771">
        <f>COUNTIF(AK111:AK130,"전국")+COUNTIF(AK111:AK130,"전공")</f>
        <v>0</v>
      </c>
      <c r="AB111" s="770" t="s">
        <v>26</v>
      </c>
      <c r="AC111" s="770">
        <f>SUMIF(AJ111:AJ130,"전국",F111:F130)+SUMIF(AJ111:AJ130,"전공",F111:F130)</f>
        <v>0</v>
      </c>
      <c r="AD111" s="771">
        <f>SUMIF(AK111:AK130,"전국",K111:K130)+SUMIF(AK111:AK130,"전공",K111:K130)</f>
        <v>0</v>
      </c>
      <c r="AE111" s="770">
        <f t="shared" ref="AE111:AE127" si="32">U111-Z111</f>
        <v>0</v>
      </c>
      <c r="AF111" s="771">
        <f t="shared" ref="AF111:AF127" si="33">V111-AA111</f>
        <v>0</v>
      </c>
      <c r="AG111" s="770" t="s">
        <v>26</v>
      </c>
      <c r="AH111" s="770">
        <f t="shared" ref="AH111:AH127" si="34">X111-AC111</f>
        <v>0</v>
      </c>
      <c r="AI111" s="771">
        <f t="shared" ref="AI111:AI127" si="35">Y111-AD111</f>
        <v>0</v>
      </c>
      <c r="AJ111" s="770" t="str">
        <f t="shared" ref="AJ111:AJ130" si="36">CONCATENATE(D111,L111)</f>
        <v/>
      </c>
      <c r="AK111" s="770" t="str">
        <f t="shared" si="24"/>
        <v/>
      </c>
    </row>
    <row r="112" spans="1:39" s="773" customFormat="1" ht="24" hidden="1" customHeight="1" x14ac:dyDescent="0.15">
      <c r="A112" s="818">
        <v>102</v>
      </c>
      <c r="B112" s="775"/>
      <c r="C112" s="834"/>
      <c r="D112" s="776"/>
      <c r="E112" s="777"/>
      <c r="F112" s="813"/>
      <c r="G112" s="779"/>
      <c r="H112" s="851"/>
      <c r="I112" s="851"/>
      <c r="J112" s="843"/>
      <c r="K112" s="843"/>
      <c r="L112" s="782"/>
      <c r="M112" s="782"/>
      <c r="N112" s="783"/>
      <c r="O112" s="783"/>
      <c r="P112" s="815"/>
      <c r="Q112" s="815"/>
      <c r="R112" s="815"/>
      <c r="S112" s="785"/>
      <c r="T112" s="770" t="s">
        <v>28</v>
      </c>
      <c r="U112" s="770">
        <f>COUNTIF(D111:D130,"답")</f>
        <v>0</v>
      </c>
      <c r="V112" s="771">
        <f>COUNTIF(I111:I130,"답")</f>
        <v>0</v>
      </c>
      <c r="W112" s="770" t="s">
        <v>26</v>
      </c>
      <c r="X112" s="770">
        <f>SUMIF(D111:D130,"답",F111:F130)</f>
        <v>0</v>
      </c>
      <c r="Y112" s="771">
        <f>SUMIF(I111:I130,"답",K111:K130)</f>
        <v>0</v>
      </c>
      <c r="Z112" s="770">
        <f>COUNTIF(AJ111:AJ130,"답국")+COUNTIF(AJ111:AJ130,"답공")</f>
        <v>0</v>
      </c>
      <c r="AA112" s="771">
        <f>COUNTIF(AK111:AK130,"답국")+COUNTIF(AK111:AK130,"답공")</f>
        <v>0</v>
      </c>
      <c r="AB112" s="770" t="s">
        <v>26</v>
      </c>
      <c r="AC112" s="770">
        <f>SUMIF(AJ111:AJ130,"답국",F111:F130)+SUMIF(AJ111:AJ130,"답공",F111:F130)</f>
        <v>0</v>
      </c>
      <c r="AD112" s="771">
        <f>SUMIF(AK111:AK130,"답국",K111:K130)+SUMIF(AK111:AK130,"답공",K111:K130)</f>
        <v>0</v>
      </c>
      <c r="AE112" s="770">
        <f t="shared" si="32"/>
        <v>0</v>
      </c>
      <c r="AF112" s="771">
        <f t="shared" si="33"/>
        <v>0</v>
      </c>
      <c r="AG112" s="770" t="s">
        <v>26</v>
      </c>
      <c r="AH112" s="770">
        <f t="shared" si="34"/>
        <v>0</v>
      </c>
      <c r="AI112" s="771">
        <f t="shared" si="35"/>
        <v>0</v>
      </c>
      <c r="AJ112" s="770" t="str">
        <f t="shared" si="36"/>
        <v/>
      </c>
      <c r="AK112" s="770" t="str">
        <f t="shared" si="24"/>
        <v/>
      </c>
    </row>
    <row r="113" spans="1:39" s="773" customFormat="1" ht="24" hidden="1" customHeight="1" x14ac:dyDescent="0.15">
      <c r="A113" s="818">
        <v>103</v>
      </c>
      <c r="B113" s="775"/>
      <c r="C113" s="812"/>
      <c r="D113" s="817"/>
      <c r="E113" s="777"/>
      <c r="F113" s="813"/>
      <c r="G113" s="779"/>
      <c r="H113" s="842"/>
      <c r="I113" s="842"/>
      <c r="J113" s="843"/>
      <c r="K113" s="843"/>
      <c r="L113" s="782"/>
      <c r="M113" s="782"/>
      <c r="N113" s="783"/>
      <c r="O113" s="783"/>
      <c r="P113" s="815"/>
      <c r="Q113" s="815"/>
      <c r="R113" s="845"/>
      <c r="S113" s="785"/>
      <c r="T113" s="770" t="s">
        <v>44</v>
      </c>
      <c r="U113" s="770">
        <f>COUNTIF(D111:D130,"임")</f>
        <v>0</v>
      </c>
      <c r="V113" s="771">
        <f>COUNTIF(I111:I130,"임")</f>
        <v>0</v>
      </c>
      <c r="W113" s="770" t="s">
        <v>26</v>
      </c>
      <c r="X113" s="770">
        <f>SUMIF(D111:D130,"임",F111:F130)</f>
        <v>0</v>
      </c>
      <c r="Y113" s="771">
        <f>SUMIF(I111:I130,"임",K111:K130)</f>
        <v>0</v>
      </c>
      <c r="Z113" s="770">
        <f>COUNTIF(AJ111:AJ130,"임국")+COUNTIF(AJ111:AJ130,"임공")</f>
        <v>0</v>
      </c>
      <c r="AA113" s="771">
        <f>COUNTIF(AK111:AK130,"임국")+COUNTIF(AK111:AK130,"임공")</f>
        <v>0</v>
      </c>
      <c r="AB113" s="770" t="s">
        <v>26</v>
      </c>
      <c r="AC113" s="770">
        <f>SUMIF(AJ111:AJ130,"임국",F111:F130)+SUMIF(AJ111:AJ130,"임공",F111:F130)</f>
        <v>0</v>
      </c>
      <c r="AD113" s="771">
        <f>SUMIF(AK111:AK130,"임국",K111:K130)+SUMIF(AK111:AK130,"임공",K111:K130)</f>
        <v>0</v>
      </c>
      <c r="AE113" s="770">
        <f t="shared" si="32"/>
        <v>0</v>
      </c>
      <c r="AF113" s="771">
        <f t="shared" si="33"/>
        <v>0</v>
      </c>
      <c r="AG113" s="770" t="s">
        <v>26</v>
      </c>
      <c r="AH113" s="770">
        <f t="shared" si="34"/>
        <v>0</v>
      </c>
      <c r="AI113" s="771">
        <f t="shared" si="35"/>
        <v>0</v>
      </c>
      <c r="AJ113" s="770" t="str">
        <f t="shared" si="36"/>
        <v/>
      </c>
      <c r="AK113" s="770" t="str">
        <f t="shared" si="24"/>
        <v/>
      </c>
      <c r="AL113" s="772"/>
      <c r="AM113" s="772"/>
    </row>
    <row r="114" spans="1:39" s="773" customFormat="1" ht="24" hidden="1" customHeight="1" x14ac:dyDescent="0.15">
      <c r="A114" s="790" t="s">
        <v>165</v>
      </c>
      <c r="B114" s="775"/>
      <c r="C114" s="776"/>
      <c r="D114" s="776"/>
      <c r="E114" s="777"/>
      <c r="F114" s="811"/>
      <c r="G114" s="779"/>
      <c r="H114" s="842"/>
      <c r="I114" s="842"/>
      <c r="J114" s="843"/>
      <c r="K114" s="843"/>
      <c r="L114" s="782"/>
      <c r="M114" s="782"/>
      <c r="N114" s="783"/>
      <c r="O114" s="783"/>
      <c r="P114" s="832"/>
      <c r="Q114" s="832"/>
      <c r="R114" s="832"/>
      <c r="S114" s="810"/>
      <c r="T114" s="770" t="s">
        <v>45</v>
      </c>
      <c r="U114" s="770">
        <f>COUNTIF(D111:D130,"대")</f>
        <v>0</v>
      </c>
      <c r="V114" s="771">
        <f>COUNTIF(I111:I130,"대")</f>
        <v>0</v>
      </c>
      <c r="W114" s="770" t="s">
        <v>26</v>
      </c>
      <c r="X114" s="770">
        <f>SUMIF(D111:D130,"대",F111:F130)</f>
        <v>0</v>
      </c>
      <c r="Y114" s="771">
        <f>SUMIF(I111:I130,"대",K111:K130)</f>
        <v>0</v>
      </c>
      <c r="Z114" s="770">
        <f>COUNTIF(AJ111:AJ130,"대국")+COUNTIF(AJ111:AJ130,"대공")</f>
        <v>0</v>
      </c>
      <c r="AA114" s="771">
        <f>COUNTIF(AK111:AK130,"대국")+COUNTIF(AK111:AK130,"대공")</f>
        <v>0</v>
      </c>
      <c r="AB114" s="770" t="s">
        <v>26</v>
      </c>
      <c r="AC114" s="770">
        <f>SUMIF(AJ111:AJ130,"대국",F111:F130)+SUMIF(AJ111:AJ130,"대공",F111:F130)</f>
        <v>0</v>
      </c>
      <c r="AD114" s="771">
        <f>SUMIF(AK111:AK130,"대국",K111:K130)+SUMIF(AK111:AK130,"대공",K111:K130)</f>
        <v>0</v>
      </c>
      <c r="AE114" s="770">
        <f t="shared" si="32"/>
        <v>0</v>
      </c>
      <c r="AF114" s="771">
        <f t="shared" si="33"/>
        <v>0</v>
      </c>
      <c r="AG114" s="770" t="s">
        <v>26</v>
      </c>
      <c r="AH114" s="770">
        <f t="shared" si="34"/>
        <v>0</v>
      </c>
      <c r="AI114" s="771">
        <f t="shared" si="35"/>
        <v>0</v>
      </c>
      <c r="AJ114" s="770" t="str">
        <f t="shared" si="36"/>
        <v/>
      </c>
      <c r="AK114" s="770" t="str">
        <f t="shared" si="24"/>
        <v/>
      </c>
      <c r="AL114" s="772"/>
      <c r="AM114" s="772"/>
    </row>
    <row r="115" spans="1:39" s="773" customFormat="1" ht="24" hidden="1" customHeight="1" x14ac:dyDescent="0.15">
      <c r="A115" s="818">
        <v>105</v>
      </c>
      <c r="B115" s="775"/>
      <c r="C115" s="776"/>
      <c r="D115" s="776"/>
      <c r="E115" s="777"/>
      <c r="F115" s="811"/>
      <c r="G115" s="779"/>
      <c r="H115" s="846"/>
      <c r="I115" s="840"/>
      <c r="J115" s="847"/>
      <c r="K115" s="779"/>
      <c r="L115" s="782"/>
      <c r="M115" s="782"/>
      <c r="N115" s="783"/>
      <c r="O115" s="783"/>
      <c r="P115" s="784"/>
      <c r="Q115" s="784"/>
      <c r="R115" s="784"/>
      <c r="S115" s="810"/>
      <c r="T115" s="770" t="s">
        <v>31</v>
      </c>
      <c r="U115" s="770">
        <f>COUNTIF(D111:D130,"도")</f>
        <v>0</v>
      </c>
      <c r="V115" s="771">
        <f>COUNTIF(I111:I130,"도")</f>
        <v>0</v>
      </c>
      <c r="W115" s="770" t="s">
        <v>26</v>
      </c>
      <c r="X115" s="770">
        <f>SUMIF(D111:D130,"도",F111:F130)</f>
        <v>0</v>
      </c>
      <c r="Y115" s="771">
        <f>SUMIF(I111:I130,"도",K111:K130)</f>
        <v>0</v>
      </c>
      <c r="Z115" s="770">
        <f>COUNTIF(AJ111:AJ130,"도국")+COUNTIF(AJ111:AJ130,"도공")</f>
        <v>0</v>
      </c>
      <c r="AA115" s="771">
        <f>COUNTIF(AK111:AK130,"도국")+COUNTIF(AK111:AK130,"도공")</f>
        <v>0</v>
      </c>
      <c r="AB115" s="770" t="s">
        <v>26</v>
      </c>
      <c r="AC115" s="770">
        <f>SUMIF(AJ111:AJ130,"도국",F111:F130)+SUMIF(AJ111:AJ130,"도공",F111:F130)</f>
        <v>0</v>
      </c>
      <c r="AD115" s="771">
        <f>SUMIF(AK111:AK130,"도국",K111:K130)+SUMIF(AK111:AK130,"도공",K111:K130)</f>
        <v>0</v>
      </c>
      <c r="AE115" s="770">
        <f t="shared" si="32"/>
        <v>0</v>
      </c>
      <c r="AF115" s="771">
        <f t="shared" si="33"/>
        <v>0</v>
      </c>
      <c r="AG115" s="770" t="s">
        <v>26</v>
      </c>
      <c r="AH115" s="770">
        <f t="shared" si="34"/>
        <v>0</v>
      </c>
      <c r="AI115" s="771">
        <f t="shared" si="35"/>
        <v>0</v>
      </c>
      <c r="AJ115" s="770" t="str">
        <f t="shared" si="36"/>
        <v/>
      </c>
      <c r="AK115" s="770" t="str">
        <f t="shared" si="24"/>
        <v/>
      </c>
      <c r="AL115" s="772"/>
      <c r="AM115" s="772"/>
    </row>
    <row r="116" spans="1:39" s="773" customFormat="1" ht="24" hidden="1" customHeight="1" x14ac:dyDescent="0.15">
      <c r="A116" s="818">
        <v>106</v>
      </c>
      <c r="B116" s="775"/>
      <c r="C116" s="776"/>
      <c r="D116" s="776"/>
      <c r="E116" s="777"/>
      <c r="F116" s="811"/>
      <c r="G116" s="779"/>
      <c r="H116" s="846"/>
      <c r="I116" s="840"/>
      <c r="J116" s="847"/>
      <c r="K116" s="779"/>
      <c r="L116" s="784"/>
      <c r="M116" s="837"/>
      <c r="N116" s="819"/>
      <c r="O116" s="826"/>
      <c r="P116" s="784"/>
      <c r="Q116" s="784"/>
      <c r="R116" s="784"/>
      <c r="S116" s="785"/>
      <c r="T116" s="770" t="s">
        <v>32</v>
      </c>
      <c r="U116" s="786">
        <f>COUNTIF(D111:D130,"천")</f>
        <v>0</v>
      </c>
      <c r="V116" s="787">
        <f>COUNTIF(I111:I130,"천")</f>
        <v>0</v>
      </c>
      <c r="W116" s="770" t="s">
        <v>26</v>
      </c>
      <c r="X116" s="770">
        <f>SUMIF(D111:D130,"천",F111:F130)</f>
        <v>0</v>
      </c>
      <c r="Y116" s="771">
        <f>SUMIF(I111:I130,"천",K111:K130)</f>
        <v>0</v>
      </c>
      <c r="Z116" s="770">
        <f>COUNTIF(AJ111:AJ130,"천국")+COUNTIF(AJ111:AJ130,"천공")</f>
        <v>0</v>
      </c>
      <c r="AA116" s="771">
        <f>COUNTIF(AK111:AK130,"천국")+COUNTIF(AK111:AK130,"천공")</f>
        <v>0</v>
      </c>
      <c r="AB116" s="770" t="s">
        <v>26</v>
      </c>
      <c r="AC116" s="770">
        <f>SUMIF(AJ111:AJ130,"천국",F111:F130)+SUMIF(AJ111:AJ130,"천공",F111:F130)</f>
        <v>0</v>
      </c>
      <c r="AD116" s="771">
        <f>SUMIF(AK111:AK130,"천국",K111:K130)+SUMIF(AK111:AK130,"천공",K111:K130)</f>
        <v>0</v>
      </c>
      <c r="AE116" s="770">
        <f t="shared" si="32"/>
        <v>0</v>
      </c>
      <c r="AF116" s="771">
        <f t="shared" si="33"/>
        <v>0</v>
      </c>
      <c r="AG116" s="770" t="s">
        <v>26</v>
      </c>
      <c r="AH116" s="770">
        <f t="shared" si="34"/>
        <v>0</v>
      </c>
      <c r="AI116" s="771">
        <f t="shared" si="35"/>
        <v>0</v>
      </c>
      <c r="AJ116" s="770" t="str">
        <f t="shared" si="36"/>
        <v/>
      </c>
      <c r="AK116" s="770" t="str">
        <f t="shared" si="24"/>
        <v/>
      </c>
      <c r="AL116" s="772"/>
      <c r="AM116" s="772"/>
    </row>
    <row r="117" spans="1:39" s="773" customFormat="1" ht="24" hidden="1" customHeight="1" x14ac:dyDescent="0.15">
      <c r="A117" s="818">
        <v>107</v>
      </c>
      <c r="B117" s="775"/>
      <c r="C117" s="776"/>
      <c r="D117" s="776"/>
      <c r="E117" s="777"/>
      <c r="F117" s="811"/>
      <c r="G117" s="779"/>
      <c r="H117" s="846"/>
      <c r="I117" s="848"/>
      <c r="J117" s="779"/>
      <c r="K117" s="779"/>
      <c r="L117" s="860"/>
      <c r="M117" s="837"/>
      <c r="N117" s="861"/>
      <c r="O117" s="826"/>
      <c r="P117" s="809"/>
      <c r="Q117" s="809"/>
      <c r="R117" s="809"/>
      <c r="S117" s="785"/>
      <c r="T117" s="770" t="s">
        <v>33</v>
      </c>
      <c r="U117" s="770">
        <f>COUNTIF(D111:D130,"구")</f>
        <v>0</v>
      </c>
      <c r="V117" s="771">
        <f>COUNTIF(I111:I130,"구")</f>
        <v>0</v>
      </c>
      <c r="W117" s="770" t="s">
        <v>26</v>
      </c>
      <c r="X117" s="770">
        <f>SUMIF(D111:D130,"구",F111:F130)</f>
        <v>0</v>
      </c>
      <c r="Y117" s="771">
        <f>SUMIF(I111:I130,"구",K111:K130)</f>
        <v>0</v>
      </c>
      <c r="Z117" s="770">
        <f>COUNTIF(AJ111:AJ130,"구국")+COUNTIF(AJ111:AJ130,"구공")</f>
        <v>0</v>
      </c>
      <c r="AA117" s="771">
        <f>COUNTIF(AK111:AK130,"구국")+COUNTIF(AK111:AK130,"구공")</f>
        <v>0</v>
      </c>
      <c r="AB117" s="770" t="s">
        <v>26</v>
      </c>
      <c r="AC117" s="770">
        <f>SUMIF(AJ111:AJ130,"구국",F111:F130)+SUMIF(AJ111:AJ130,"구공",F111:F130)</f>
        <v>0</v>
      </c>
      <c r="AD117" s="771">
        <f>SUMIF(AK111:AK130,"구국",K111:K130)+SUMIF(AK111:AK130,"구공",K111:K130)</f>
        <v>0</v>
      </c>
      <c r="AE117" s="770">
        <f t="shared" si="32"/>
        <v>0</v>
      </c>
      <c r="AF117" s="771">
        <f t="shared" si="33"/>
        <v>0</v>
      </c>
      <c r="AG117" s="770" t="s">
        <v>26</v>
      </c>
      <c r="AH117" s="770">
        <f t="shared" si="34"/>
        <v>0</v>
      </c>
      <c r="AI117" s="771">
        <f t="shared" si="35"/>
        <v>0</v>
      </c>
      <c r="AJ117" s="770" t="str">
        <f t="shared" si="36"/>
        <v/>
      </c>
      <c r="AK117" s="770" t="str">
        <f t="shared" si="24"/>
        <v/>
      </c>
      <c r="AL117" s="772"/>
      <c r="AM117" s="772"/>
    </row>
    <row r="118" spans="1:39" s="773" customFormat="1" ht="24" hidden="1" customHeight="1" x14ac:dyDescent="0.15">
      <c r="A118" s="818">
        <v>108</v>
      </c>
      <c r="B118" s="775"/>
      <c r="C118" s="776"/>
      <c r="D118" s="776"/>
      <c r="E118" s="777"/>
      <c r="F118" s="811"/>
      <c r="G118" s="779"/>
      <c r="H118" s="846"/>
      <c r="I118" s="848"/>
      <c r="J118" s="779"/>
      <c r="K118" s="779"/>
      <c r="L118" s="862"/>
      <c r="M118" s="837"/>
      <c r="N118" s="863"/>
      <c r="O118" s="826"/>
      <c r="P118" s="809"/>
      <c r="Q118" s="809"/>
      <c r="R118" s="809"/>
      <c r="S118" s="785"/>
      <c r="T118" s="770" t="s">
        <v>34</v>
      </c>
      <c r="U118" s="770">
        <f>COUNTIF(D111:D130,"제")</f>
        <v>0</v>
      </c>
      <c r="V118" s="771">
        <f>COUNTIF(I111:I130,"제")</f>
        <v>0</v>
      </c>
      <c r="W118" s="770" t="s">
        <v>26</v>
      </c>
      <c r="X118" s="770">
        <f>SUMIF(D111:D130,"제",F111:F130)</f>
        <v>0</v>
      </c>
      <c r="Y118" s="771">
        <f>SUMIF(I111:I130,"제",K111:K130)</f>
        <v>0</v>
      </c>
      <c r="Z118" s="770">
        <f>COUNTIF(AJ111:AJ130,"제국")+COUNTIF(AJ111:AJ130,"제공")</f>
        <v>0</v>
      </c>
      <c r="AA118" s="771">
        <f>COUNTIF(AK111:AK130,"제국")+COUNTIF(AK111:AK130,"제공")</f>
        <v>0</v>
      </c>
      <c r="AB118" s="770" t="s">
        <v>26</v>
      </c>
      <c r="AC118" s="770">
        <f>SUMIF(AJ111:AJ130,"제국",F111:F130)+SUMIF(AJ111:AJ130,"제공",F111:F130)</f>
        <v>0</v>
      </c>
      <c r="AD118" s="771">
        <f>SUMIF(AK111:AK130,"제국",K111:K130)+SUMIF(AK111:AK130,"제공",K111:K130)</f>
        <v>0</v>
      </c>
      <c r="AE118" s="770">
        <f t="shared" si="32"/>
        <v>0</v>
      </c>
      <c r="AF118" s="771">
        <f t="shared" si="33"/>
        <v>0</v>
      </c>
      <c r="AG118" s="770" t="s">
        <v>26</v>
      </c>
      <c r="AH118" s="770">
        <f t="shared" si="34"/>
        <v>0</v>
      </c>
      <c r="AI118" s="771">
        <f t="shared" si="35"/>
        <v>0</v>
      </c>
      <c r="AJ118" s="770" t="str">
        <f t="shared" si="36"/>
        <v/>
      </c>
      <c r="AK118" s="770" t="str">
        <f t="shared" si="24"/>
        <v/>
      </c>
      <c r="AL118" s="772"/>
      <c r="AM118" s="772"/>
    </row>
    <row r="119" spans="1:39" s="773" customFormat="1" ht="24" hidden="1" customHeight="1" x14ac:dyDescent="0.15">
      <c r="A119" s="818">
        <v>109</v>
      </c>
      <c r="B119" s="775"/>
      <c r="C119" s="776"/>
      <c r="D119" s="776"/>
      <c r="E119" s="777"/>
      <c r="F119" s="811"/>
      <c r="G119" s="779"/>
      <c r="H119" s="846"/>
      <c r="I119" s="864"/>
      <c r="J119" s="830"/>
      <c r="K119" s="830"/>
      <c r="L119" s="865"/>
      <c r="M119" s="831"/>
      <c r="N119" s="866"/>
      <c r="O119" s="867"/>
      <c r="P119" s="825"/>
      <c r="Q119" s="825"/>
      <c r="R119" s="825"/>
      <c r="S119" s="785"/>
      <c r="T119" s="770" t="s">
        <v>46</v>
      </c>
      <c r="U119" s="770">
        <f>COUNTIF(D111:D130,"유")</f>
        <v>0</v>
      </c>
      <c r="V119" s="771">
        <f>COUNTIF(I111:I130,"유")</f>
        <v>0</v>
      </c>
      <c r="W119" s="770" t="s">
        <v>26</v>
      </c>
      <c r="X119" s="770">
        <f>SUMIF(D111:D130,"유",F111:F130)</f>
        <v>0</v>
      </c>
      <c r="Y119" s="771">
        <f>SUMIF(I111:I130,"유",K111:K130)</f>
        <v>0</v>
      </c>
      <c r="Z119" s="770">
        <f>COUNTIF(AJ111:AJ130,"유국")+COUNTIF(AJ111:AJ130,"유공")</f>
        <v>0</v>
      </c>
      <c r="AA119" s="771">
        <f>COUNTIF(AK111:AK130,"유국")+COUNTIF(AK111:AK130,"유공")</f>
        <v>0</v>
      </c>
      <c r="AB119" s="770" t="s">
        <v>26</v>
      </c>
      <c r="AC119" s="770">
        <f>SUMIF(AJ111:AJ130,"유국",F111:F130)+SUMIF(AJ111:AJ130,"유공",F111:F130)</f>
        <v>0</v>
      </c>
      <c r="AD119" s="771">
        <f>SUMIF(AK111:AK130,"유국",K111:K130)+SUMIF(AK111:AK130,"유공",K111:K130)</f>
        <v>0</v>
      </c>
      <c r="AE119" s="770">
        <f t="shared" si="32"/>
        <v>0</v>
      </c>
      <c r="AF119" s="771">
        <f t="shared" si="33"/>
        <v>0</v>
      </c>
      <c r="AG119" s="770" t="s">
        <v>26</v>
      </c>
      <c r="AH119" s="770">
        <f t="shared" si="34"/>
        <v>0</v>
      </c>
      <c r="AI119" s="771">
        <f t="shared" si="35"/>
        <v>0</v>
      </c>
      <c r="AJ119" s="770" t="str">
        <f t="shared" si="36"/>
        <v/>
      </c>
      <c r="AK119" s="770" t="str">
        <f t="shared" si="24"/>
        <v/>
      </c>
      <c r="AL119" s="772"/>
      <c r="AM119" s="772"/>
    </row>
    <row r="120" spans="1:39" s="773" customFormat="1" ht="24" hidden="1" customHeight="1" x14ac:dyDescent="0.15">
      <c r="A120" s="818">
        <v>110</v>
      </c>
      <c r="B120" s="775"/>
      <c r="C120" s="776"/>
      <c r="D120" s="776"/>
      <c r="E120" s="777"/>
      <c r="F120" s="811"/>
      <c r="G120" s="779"/>
      <c r="H120" s="846"/>
      <c r="I120" s="840"/>
      <c r="J120" s="847"/>
      <c r="K120" s="779"/>
      <c r="L120" s="784"/>
      <c r="M120" s="837"/>
      <c r="N120" s="819"/>
      <c r="O120" s="826"/>
      <c r="P120" s="784"/>
      <c r="Q120" s="784"/>
      <c r="R120" s="784"/>
      <c r="S120" s="785"/>
      <c r="T120" s="770" t="s">
        <v>47</v>
      </c>
      <c r="U120" s="770">
        <f>COUNTIF(D111:D130,"과")</f>
        <v>0</v>
      </c>
      <c r="V120" s="771">
        <f>COUNTIF(I111:I130,"과")</f>
        <v>0</v>
      </c>
      <c r="W120" s="770" t="s">
        <v>26</v>
      </c>
      <c r="X120" s="770">
        <f>SUMIF(D111:D130,"과",F111:F130)</f>
        <v>0</v>
      </c>
      <c r="Y120" s="771">
        <f>SUMIF(I111:I130,"과",K111:K130)</f>
        <v>0</v>
      </c>
      <c r="Z120" s="770">
        <f>COUNTIF(AJ111:AJ130,"과국")+COUNTIF(AJ111:AJ130,"과공")</f>
        <v>0</v>
      </c>
      <c r="AA120" s="771">
        <f>COUNTIF(AK111:AK130,"과국")+COUNTIF(AK111:AK130,"과공")</f>
        <v>0</v>
      </c>
      <c r="AB120" s="770" t="s">
        <v>26</v>
      </c>
      <c r="AC120" s="770">
        <f>SUMIF(AJ111:AJ130,"과국",F111:F130)+SUMIF(AJ111:AJ130,"과공",F111:F130)</f>
        <v>0</v>
      </c>
      <c r="AD120" s="771">
        <f>SUMIF(AK111:AK130,"과국",K111:K130)+SUMIF(AK111:AK130,"과공",K111:K130)</f>
        <v>0</v>
      </c>
      <c r="AE120" s="770">
        <f t="shared" si="32"/>
        <v>0</v>
      </c>
      <c r="AF120" s="771">
        <f t="shared" si="33"/>
        <v>0</v>
      </c>
      <c r="AG120" s="770" t="s">
        <v>26</v>
      </c>
      <c r="AH120" s="770">
        <f t="shared" si="34"/>
        <v>0</v>
      </c>
      <c r="AI120" s="771">
        <f t="shared" si="35"/>
        <v>0</v>
      </c>
      <c r="AJ120" s="770" t="str">
        <f t="shared" si="36"/>
        <v/>
      </c>
      <c r="AK120" s="770" t="str">
        <f t="shared" si="24"/>
        <v/>
      </c>
      <c r="AL120" s="772"/>
      <c r="AM120" s="772"/>
    </row>
    <row r="121" spans="1:39" s="773" customFormat="1" ht="24" hidden="1" customHeight="1" x14ac:dyDescent="0.15">
      <c r="A121" s="790" t="s">
        <v>172</v>
      </c>
      <c r="B121" s="775"/>
      <c r="C121" s="654"/>
      <c r="D121" s="776"/>
      <c r="E121" s="868"/>
      <c r="F121" s="869"/>
      <c r="G121" s="779"/>
      <c r="H121" s="846"/>
      <c r="I121" s="842"/>
      <c r="J121" s="843"/>
      <c r="K121" s="843"/>
      <c r="L121" s="782"/>
      <c r="M121" s="782"/>
      <c r="N121" s="783"/>
      <c r="O121" s="783"/>
      <c r="P121" s="784"/>
      <c r="Q121" s="784"/>
      <c r="R121" s="784"/>
      <c r="S121" s="785"/>
      <c r="T121" s="770" t="s">
        <v>36</v>
      </c>
      <c r="U121" s="770">
        <f>COUNTIF(D111:D130,"묘")</f>
        <v>0</v>
      </c>
      <c r="V121" s="771">
        <f>COUNTIF(I111:I130,"묘")</f>
        <v>0</v>
      </c>
      <c r="W121" s="770" t="s">
        <v>26</v>
      </c>
      <c r="X121" s="770">
        <f>SUMIF(D111:D130,"묘",F111:F130)</f>
        <v>0</v>
      </c>
      <c r="Y121" s="771">
        <f>SUMIF(I111:I130,"묘",K111:K130)</f>
        <v>0</v>
      </c>
      <c r="Z121" s="770">
        <f>COUNTIF(AJ111:AJ130,"묘국")+COUNTIF(AJ111:AJ130,"묘공")</f>
        <v>0</v>
      </c>
      <c r="AA121" s="771">
        <f>COUNTIF(AK111:AK130,"묘국")+COUNTIF(AK111:AK130,"묘공")</f>
        <v>0</v>
      </c>
      <c r="AB121" s="770" t="s">
        <v>26</v>
      </c>
      <c r="AC121" s="770">
        <f>SUMIF(AJ111:AJ130,"묘국",F111:F130)+SUMIF(AJ111:AJ130,"묘공",F111:F130)</f>
        <v>0</v>
      </c>
      <c r="AD121" s="771">
        <f>SUMIF(AK111:AK130,"묘국",K111:K130)+SUMIF(AK111:AK130,"묘공",K111:K130)</f>
        <v>0</v>
      </c>
      <c r="AE121" s="770">
        <f t="shared" si="32"/>
        <v>0</v>
      </c>
      <c r="AF121" s="771">
        <f t="shared" si="33"/>
        <v>0</v>
      </c>
      <c r="AG121" s="770" t="s">
        <v>26</v>
      </c>
      <c r="AH121" s="770">
        <f t="shared" si="34"/>
        <v>0</v>
      </c>
      <c r="AI121" s="771">
        <f t="shared" si="35"/>
        <v>0</v>
      </c>
      <c r="AJ121" s="770" t="str">
        <f t="shared" si="36"/>
        <v/>
      </c>
      <c r="AK121" s="770" t="str">
        <f t="shared" si="24"/>
        <v/>
      </c>
      <c r="AL121" s="772"/>
      <c r="AM121" s="772"/>
    </row>
    <row r="122" spans="1:39" s="773" customFormat="1" ht="24" hidden="1" customHeight="1" x14ac:dyDescent="0.15">
      <c r="A122" s="818">
        <v>112</v>
      </c>
      <c r="B122" s="775"/>
      <c r="C122" s="654"/>
      <c r="D122" s="776"/>
      <c r="E122" s="868"/>
      <c r="F122" s="869"/>
      <c r="G122" s="779"/>
      <c r="H122" s="851"/>
      <c r="I122" s="851"/>
      <c r="J122" s="843"/>
      <c r="K122" s="843"/>
      <c r="L122" s="782"/>
      <c r="M122" s="782"/>
      <c r="N122" s="783"/>
      <c r="O122" s="783"/>
      <c r="P122" s="815"/>
      <c r="Q122" s="815"/>
      <c r="R122" s="815"/>
      <c r="S122" s="785"/>
      <c r="T122" s="770" t="s">
        <v>39</v>
      </c>
      <c r="U122" s="770">
        <f>COUNTIF(D111:D130,"수")</f>
        <v>0</v>
      </c>
      <c r="V122" s="771">
        <f>COUNTIF(I111:I130,"수")</f>
        <v>0</v>
      </c>
      <c r="W122" s="770" t="s">
        <v>26</v>
      </c>
      <c r="X122" s="770">
        <f>SUMIF(D111:D130,"수",F111:F130)</f>
        <v>0</v>
      </c>
      <c r="Y122" s="771">
        <f>SUMIF(I111:I130,"수",K111:K130)</f>
        <v>0</v>
      </c>
      <c r="Z122" s="770">
        <f>COUNTIF(AJ111:AJ130,"수국")+COUNTIF(AJ111:AJ130,"수공")</f>
        <v>0</v>
      </c>
      <c r="AA122" s="771">
        <f>COUNTIF(AK111:AK130,"수국")+COUNTIF(AK111:AK130,"수공")</f>
        <v>0</v>
      </c>
      <c r="AB122" s="770" t="s">
        <v>26</v>
      </c>
      <c r="AC122" s="770">
        <f>SUMIF(AJ111:AJ130,"수국",F111:F130)+SUMIF(AJ111:AJ130,"수공",F111:F130)</f>
        <v>0</v>
      </c>
      <c r="AD122" s="771">
        <f>SUMIF(AK111:AK130,"수국",K111:K130)+SUMIF(AK111:AK130,"수공",K111:K130)</f>
        <v>0</v>
      </c>
      <c r="AE122" s="770">
        <f t="shared" si="32"/>
        <v>0</v>
      </c>
      <c r="AF122" s="771">
        <f t="shared" si="33"/>
        <v>0</v>
      </c>
      <c r="AG122" s="770" t="s">
        <v>26</v>
      </c>
      <c r="AH122" s="770">
        <f t="shared" si="34"/>
        <v>0</v>
      </c>
      <c r="AI122" s="771">
        <f t="shared" si="35"/>
        <v>0</v>
      </c>
      <c r="AJ122" s="770" t="str">
        <f t="shared" si="36"/>
        <v/>
      </c>
      <c r="AK122" s="770" t="str">
        <f t="shared" si="24"/>
        <v/>
      </c>
      <c r="AL122" s="772"/>
      <c r="AM122" s="772"/>
    </row>
    <row r="123" spans="1:39" s="773" customFormat="1" ht="24" hidden="1" customHeight="1" x14ac:dyDescent="0.15">
      <c r="A123" s="790" t="s">
        <v>185</v>
      </c>
      <c r="B123" s="775"/>
      <c r="C123" s="654"/>
      <c r="D123" s="654"/>
      <c r="E123" s="868"/>
      <c r="F123" s="869"/>
      <c r="G123" s="779"/>
      <c r="H123" s="846"/>
      <c r="I123" s="840"/>
      <c r="J123" s="847"/>
      <c r="K123" s="779"/>
      <c r="L123" s="784"/>
      <c r="M123" s="837"/>
      <c r="N123" s="819"/>
      <c r="O123" s="826"/>
      <c r="P123" s="815"/>
      <c r="Q123" s="815"/>
      <c r="R123" s="815"/>
      <c r="S123" s="785"/>
      <c r="T123" s="770" t="s">
        <v>35</v>
      </c>
      <c r="U123" s="770">
        <f>COUNTIF(D111:D130,"잡")</f>
        <v>0</v>
      </c>
      <c r="V123" s="771">
        <f>COUNTIF(I111:I130,"잡")</f>
        <v>0</v>
      </c>
      <c r="W123" s="770" t="s">
        <v>26</v>
      </c>
      <c r="X123" s="770">
        <f>SUMIF(D111:D130,"잡",F111:F130)</f>
        <v>0</v>
      </c>
      <c r="Y123" s="771">
        <f>SUMIF(I111:I130,"잡",K111:K130)</f>
        <v>0</v>
      </c>
      <c r="Z123" s="770">
        <f>COUNTIF(AJ111:AJ130,"잡국")+COUNTIF(AJ111:AJ130,"잡공")</f>
        <v>0</v>
      </c>
      <c r="AA123" s="771">
        <f>COUNTIF(AK111:AK130,"잡국")+COUNTIF(AK111:AK130,"잡공")</f>
        <v>0</v>
      </c>
      <c r="AB123" s="770" t="s">
        <v>26</v>
      </c>
      <c r="AC123" s="770">
        <f>SUMIF(AJ111:AJ130,"잡국",F111:F130)+SUMIF(AJ111:AJ130,"잡공",F111:F130)</f>
        <v>0</v>
      </c>
      <c r="AD123" s="771">
        <f>SUMIF(AK111:AK130,"잡국",K111:K130)+SUMIF(AK111:AK130,"잡공",K111:K130)</f>
        <v>0</v>
      </c>
      <c r="AE123" s="770">
        <f t="shared" si="32"/>
        <v>0</v>
      </c>
      <c r="AF123" s="771">
        <f t="shared" si="33"/>
        <v>0</v>
      </c>
      <c r="AG123" s="770" t="s">
        <v>26</v>
      </c>
      <c r="AH123" s="770">
        <f t="shared" si="34"/>
        <v>0</v>
      </c>
      <c r="AI123" s="771">
        <f t="shared" si="35"/>
        <v>0</v>
      </c>
      <c r="AJ123" s="770" t="str">
        <f t="shared" si="36"/>
        <v/>
      </c>
      <c r="AK123" s="770" t="str">
        <f t="shared" si="24"/>
        <v/>
      </c>
      <c r="AL123" s="772"/>
      <c r="AM123" s="772"/>
    </row>
    <row r="124" spans="1:39" s="773" customFormat="1" ht="24" hidden="1" customHeight="1" x14ac:dyDescent="0.15">
      <c r="A124" s="870" t="s">
        <v>189</v>
      </c>
      <c r="B124" s="775"/>
      <c r="C124" s="654"/>
      <c r="D124" s="654"/>
      <c r="E124" s="868"/>
      <c r="F124" s="869"/>
      <c r="G124" s="779"/>
      <c r="H124" s="842"/>
      <c r="I124" s="842"/>
      <c r="J124" s="779"/>
      <c r="K124" s="779"/>
      <c r="L124" s="782"/>
      <c r="M124" s="782"/>
      <c r="N124" s="783"/>
      <c r="O124" s="783"/>
      <c r="P124" s="784"/>
      <c r="Q124" s="784"/>
      <c r="R124" s="784"/>
      <c r="S124" s="785"/>
      <c r="T124" s="770" t="s">
        <v>1</v>
      </c>
      <c r="U124" s="770">
        <f>COUNTIF(D111:D130,"종")</f>
        <v>0</v>
      </c>
      <c r="V124" s="771">
        <f>COUNTIF(I111:I130,"종")</f>
        <v>0</v>
      </c>
      <c r="W124" s="770" t="s">
        <v>26</v>
      </c>
      <c r="X124" s="770">
        <f>SUMIF(D111:D130,"종",F111:F130)</f>
        <v>0</v>
      </c>
      <c r="Y124" s="771">
        <f>SUMIF(I111:I130,"종",K111:K130)</f>
        <v>0</v>
      </c>
      <c r="Z124" s="770">
        <f>COUNTIF(AJ111:AJ130,"종국")+COUNTIF(AJ111:AJ130,"종공")</f>
        <v>0</v>
      </c>
      <c r="AA124" s="771">
        <f>COUNTIF(AK111:AK130,"종국")+COUNTIF(AK111:AK130,"종공")</f>
        <v>0</v>
      </c>
      <c r="AB124" s="770" t="s">
        <v>26</v>
      </c>
      <c r="AC124" s="770">
        <f>SUMIF(AJ111:AJ130,"종국",F111:F130)+SUMIF(AJ111:AJ130,"종공",F111:F130)</f>
        <v>0</v>
      </c>
      <c r="AD124" s="771">
        <f>SUMIF(AK111:AK130,"종국",K111:K130)+SUMIF(AK111:AK130,"종공",K111:K130)</f>
        <v>0</v>
      </c>
      <c r="AE124" s="770">
        <f t="shared" si="32"/>
        <v>0</v>
      </c>
      <c r="AF124" s="771">
        <f t="shared" si="33"/>
        <v>0</v>
      </c>
      <c r="AG124" s="770" t="s">
        <v>26</v>
      </c>
      <c r="AH124" s="770">
        <f t="shared" si="34"/>
        <v>0</v>
      </c>
      <c r="AI124" s="771">
        <f t="shared" si="35"/>
        <v>0</v>
      </c>
      <c r="AJ124" s="770" t="str">
        <f t="shared" si="36"/>
        <v/>
      </c>
      <c r="AK124" s="770" t="str">
        <f t="shared" si="24"/>
        <v/>
      </c>
      <c r="AL124" s="772"/>
      <c r="AM124" s="772"/>
    </row>
    <row r="125" spans="1:39" s="773" customFormat="1" ht="24" hidden="1" customHeight="1" x14ac:dyDescent="0.15">
      <c r="A125" s="818">
        <v>115</v>
      </c>
      <c r="B125" s="775"/>
      <c r="C125" s="654"/>
      <c r="D125" s="654"/>
      <c r="E125" s="868"/>
      <c r="F125" s="869"/>
      <c r="G125" s="779"/>
      <c r="H125" s="846"/>
      <c r="I125" s="840"/>
      <c r="J125" s="847"/>
      <c r="K125" s="843"/>
      <c r="L125" s="782"/>
      <c r="M125" s="782"/>
      <c r="N125" s="783"/>
      <c r="O125" s="783"/>
      <c r="P125" s="815"/>
      <c r="Q125" s="815"/>
      <c r="R125" s="815"/>
      <c r="S125" s="785"/>
      <c r="T125" s="770" t="s">
        <v>50</v>
      </c>
      <c r="U125" s="770">
        <f>COUNTIF(D111:D130,"공")</f>
        <v>0</v>
      </c>
      <c r="V125" s="771">
        <f>COUNTIF(I111:I130,"공")</f>
        <v>0</v>
      </c>
      <c r="W125" s="770" t="s">
        <v>26</v>
      </c>
      <c r="X125" s="770">
        <f>SUMIF(D111:D130,"공",F111:F130)</f>
        <v>0</v>
      </c>
      <c r="Y125" s="771">
        <f>SUMIF(I111:I130,"공",K111:K130)</f>
        <v>0</v>
      </c>
      <c r="Z125" s="770">
        <f>COUNTIF(AJ111:AJ130,"공국")+COUNTIF(AJ111:AJ130,"공공")</f>
        <v>0</v>
      </c>
      <c r="AA125" s="771">
        <f>COUNTIF(AK111:AK130,"공국")+COUNTIF(AK111:AK130,"공공")</f>
        <v>0</v>
      </c>
      <c r="AB125" s="770" t="s">
        <v>26</v>
      </c>
      <c r="AC125" s="770">
        <f>SUMIF(AJ111:AJ130,"공국",F111:F130)+SUMIF(AJ111:AJ130,"공공",F111:F130)</f>
        <v>0</v>
      </c>
      <c r="AD125" s="771">
        <f>SUMIF(AK111:AK130,"공국",K111:K130)+SUMIF(AK111:AK130,"공공",K111:K130)</f>
        <v>0</v>
      </c>
      <c r="AE125" s="770">
        <f t="shared" si="32"/>
        <v>0</v>
      </c>
      <c r="AF125" s="771">
        <f t="shared" si="33"/>
        <v>0</v>
      </c>
      <c r="AG125" s="770" t="s">
        <v>26</v>
      </c>
      <c r="AH125" s="770">
        <f t="shared" si="34"/>
        <v>0</v>
      </c>
      <c r="AI125" s="771">
        <f t="shared" si="35"/>
        <v>0</v>
      </c>
      <c r="AJ125" s="770" t="str">
        <f t="shared" si="36"/>
        <v/>
      </c>
      <c r="AK125" s="770" t="str">
        <f t="shared" si="24"/>
        <v/>
      </c>
      <c r="AL125" s="772"/>
      <c r="AM125" s="772"/>
    </row>
    <row r="126" spans="1:39" s="773" customFormat="1" ht="24" hidden="1" customHeight="1" x14ac:dyDescent="0.15">
      <c r="A126" s="790" t="s">
        <v>190</v>
      </c>
      <c r="B126" s="775"/>
      <c r="C126" s="654"/>
      <c r="D126" s="776"/>
      <c r="E126" s="868"/>
      <c r="F126" s="869"/>
      <c r="G126" s="871"/>
      <c r="H126" s="842"/>
      <c r="I126" s="842"/>
      <c r="J126" s="872"/>
      <c r="K126" s="843"/>
      <c r="L126" s="782"/>
      <c r="M126" s="782"/>
      <c r="N126" s="783"/>
      <c r="O126" s="783"/>
      <c r="P126" s="784"/>
      <c r="Q126" s="784"/>
      <c r="R126" s="784"/>
      <c r="S126" s="785"/>
      <c r="T126" s="791" t="s">
        <v>40</v>
      </c>
      <c r="U126" s="770">
        <f>COUNTIF(D111:D130,"장")</f>
        <v>0</v>
      </c>
      <c r="V126" s="771">
        <f>COUNTIF(I111:I130,"장")</f>
        <v>0</v>
      </c>
      <c r="W126" s="770" t="s">
        <v>26</v>
      </c>
      <c r="X126" s="770">
        <f>SUMIF(D111:D130,"장",F111:F130)</f>
        <v>0</v>
      </c>
      <c r="Y126" s="771">
        <f>SUMIF(I111:I130,"장",K111:K130)</f>
        <v>0</v>
      </c>
      <c r="Z126" s="770">
        <f>COUNTIF(AJ111:AJ130,"장국")+COUNTIF(AJ111:AJ130,"장공")</f>
        <v>0</v>
      </c>
      <c r="AA126" s="771">
        <f>COUNTIF(AK111:AK130,"장국")+COUNTIF(AK111:AK130,"장공")</f>
        <v>0</v>
      </c>
      <c r="AB126" s="770" t="s">
        <v>26</v>
      </c>
      <c r="AC126" s="770">
        <f>SUMIF(AJ111:AJ130,"장국",F111:F130)+SUMIF(AJ111:AJ130,"장공",F111:F130)</f>
        <v>0</v>
      </c>
      <c r="AD126" s="771">
        <f>SUMIF(AK111:AK130,"장국",K111:K130)+SUMIF(AK111:AK130,"장공",K111:K130)</f>
        <v>0</v>
      </c>
      <c r="AE126" s="770">
        <f t="shared" si="32"/>
        <v>0</v>
      </c>
      <c r="AF126" s="771">
        <f t="shared" si="33"/>
        <v>0</v>
      </c>
      <c r="AG126" s="770" t="s">
        <v>26</v>
      </c>
      <c r="AH126" s="770">
        <f t="shared" si="34"/>
        <v>0</v>
      </c>
      <c r="AI126" s="771">
        <f t="shared" si="35"/>
        <v>0</v>
      </c>
      <c r="AJ126" s="770" t="str">
        <f t="shared" si="36"/>
        <v/>
      </c>
      <c r="AK126" s="770" t="str">
        <f t="shared" si="24"/>
        <v/>
      </c>
      <c r="AL126" s="772"/>
      <c r="AM126" s="772"/>
    </row>
    <row r="127" spans="1:39" s="773" customFormat="1" ht="24" hidden="1" customHeight="1" x14ac:dyDescent="0.15">
      <c r="A127" s="818">
        <v>117</v>
      </c>
      <c r="B127" s="775"/>
      <c r="C127" s="654"/>
      <c r="D127" s="776"/>
      <c r="E127" s="868"/>
      <c r="F127" s="869"/>
      <c r="G127" s="779"/>
      <c r="H127" s="842"/>
      <c r="I127" s="842"/>
      <c r="J127" s="779"/>
      <c r="K127" s="779"/>
      <c r="L127" s="782"/>
      <c r="M127" s="782"/>
      <c r="N127" s="783"/>
      <c r="O127" s="783"/>
      <c r="P127" s="844"/>
      <c r="Q127" s="844"/>
      <c r="R127" s="844"/>
      <c r="S127" s="785"/>
      <c r="T127" s="791" t="s">
        <v>186</v>
      </c>
      <c r="U127" s="770">
        <f>COUNTIF(D111:D130,"창")</f>
        <v>0</v>
      </c>
      <c r="V127" s="771">
        <f>COUNTIF(I111:I130,"창")</f>
        <v>0</v>
      </c>
      <c r="W127" s="770" t="s">
        <v>26</v>
      </c>
      <c r="X127" s="770">
        <f>SUMIF(D111:D130,"창",F111:F130)</f>
        <v>0</v>
      </c>
      <c r="Y127" s="771">
        <f>SUMIF(I111:I130,"창",K111:K130)</f>
        <v>0</v>
      </c>
      <c r="Z127" s="770">
        <f>COUNTIF(AJ111:AJ130,"창국")+COUNTIF(AJ111:AJ130,"창공")</f>
        <v>0</v>
      </c>
      <c r="AA127" s="771">
        <f>COUNTIF(AK111:AK130,"창국")+COUNTIF(AK111:AK130,"창공")</f>
        <v>0</v>
      </c>
      <c r="AB127" s="770" t="s">
        <v>26</v>
      </c>
      <c r="AC127" s="770">
        <f>SUMIF(AJ111:AJ130,"창국",F111:F130)+SUMIF(AJ111:AJ130,"창공",F111:F130)</f>
        <v>0</v>
      </c>
      <c r="AD127" s="771">
        <f>SUMIF(AK111:AK130,"창국",K111:K130)+SUMIF(AK111:AK130,"창공",K111:K130)</f>
        <v>0</v>
      </c>
      <c r="AE127" s="770">
        <f t="shared" si="32"/>
        <v>0</v>
      </c>
      <c r="AF127" s="771">
        <f t="shared" si="33"/>
        <v>0</v>
      </c>
      <c r="AG127" s="770" t="s">
        <v>26</v>
      </c>
      <c r="AH127" s="770">
        <f t="shared" si="34"/>
        <v>0</v>
      </c>
      <c r="AI127" s="771">
        <f t="shared" si="35"/>
        <v>0</v>
      </c>
      <c r="AJ127" s="770" t="str">
        <f t="shared" si="36"/>
        <v/>
      </c>
      <c r="AK127" s="770" t="str">
        <f t="shared" si="24"/>
        <v/>
      </c>
      <c r="AL127" s="772"/>
      <c r="AM127" s="772"/>
    </row>
    <row r="128" spans="1:39" s="773" customFormat="1" ht="24" hidden="1" customHeight="1" x14ac:dyDescent="0.15">
      <c r="A128" s="818">
        <v>118</v>
      </c>
      <c r="B128" s="775"/>
      <c r="C128" s="775"/>
      <c r="D128" s="776"/>
      <c r="E128" s="873"/>
      <c r="F128" s="811"/>
      <c r="G128" s="779"/>
      <c r="H128" s="846"/>
      <c r="I128" s="840"/>
      <c r="J128" s="847"/>
      <c r="K128" s="779"/>
      <c r="L128" s="782"/>
      <c r="M128" s="782"/>
      <c r="N128" s="783"/>
      <c r="O128" s="783"/>
      <c r="P128" s="845"/>
      <c r="Q128" s="845"/>
      <c r="R128" s="815"/>
      <c r="S128" s="785"/>
      <c r="T128" s="791"/>
      <c r="U128" s="791"/>
      <c r="V128" s="792"/>
      <c r="W128" s="791"/>
      <c r="X128" s="791"/>
      <c r="Y128" s="792"/>
      <c r="Z128" s="770"/>
      <c r="AA128" s="771"/>
      <c r="AB128" s="791"/>
      <c r="AC128" s="770"/>
      <c r="AD128" s="771"/>
      <c r="AE128" s="791"/>
      <c r="AF128" s="792"/>
      <c r="AG128" s="791"/>
      <c r="AH128" s="791"/>
      <c r="AI128" s="792"/>
      <c r="AJ128" s="770" t="str">
        <f t="shared" si="36"/>
        <v/>
      </c>
      <c r="AK128" s="770" t="str">
        <f t="shared" si="24"/>
        <v/>
      </c>
      <c r="AL128" s="772"/>
      <c r="AM128" s="772"/>
    </row>
    <row r="129" spans="1:39" s="773" customFormat="1" ht="24" hidden="1" customHeight="1" x14ac:dyDescent="0.15">
      <c r="A129" s="870" t="s">
        <v>191</v>
      </c>
      <c r="B129" s="775"/>
      <c r="C129" s="654"/>
      <c r="D129" s="776"/>
      <c r="E129" s="868"/>
      <c r="F129" s="869"/>
      <c r="G129" s="871"/>
      <c r="H129" s="840"/>
      <c r="I129" s="842"/>
      <c r="J129" s="872"/>
      <c r="K129" s="843"/>
      <c r="L129" s="782"/>
      <c r="M129" s="782"/>
      <c r="N129" s="783"/>
      <c r="O129" s="783"/>
      <c r="P129" s="784"/>
      <c r="Q129" s="784"/>
      <c r="R129" s="784"/>
      <c r="S129" s="785"/>
      <c r="T129" s="791"/>
      <c r="U129" s="791"/>
      <c r="V129" s="792"/>
      <c r="W129" s="791"/>
      <c r="X129" s="791"/>
      <c r="Y129" s="792"/>
      <c r="Z129" s="770"/>
      <c r="AA129" s="771"/>
      <c r="AB129" s="791"/>
      <c r="AC129" s="770"/>
      <c r="AD129" s="771"/>
      <c r="AE129" s="791"/>
      <c r="AF129" s="792"/>
      <c r="AG129" s="791"/>
      <c r="AH129" s="791"/>
      <c r="AI129" s="792"/>
      <c r="AJ129" s="770" t="str">
        <f t="shared" si="36"/>
        <v/>
      </c>
      <c r="AK129" s="770" t="str">
        <f t="shared" si="24"/>
        <v/>
      </c>
      <c r="AL129" s="772"/>
      <c r="AM129" s="772"/>
    </row>
    <row r="130" spans="1:39" s="773" customFormat="1" ht="24" hidden="1" customHeight="1" x14ac:dyDescent="0.15">
      <c r="A130" s="790" t="s">
        <v>192</v>
      </c>
      <c r="B130" s="775"/>
      <c r="C130" s="874"/>
      <c r="D130" s="654"/>
      <c r="E130" s="868"/>
      <c r="F130" s="869"/>
      <c r="G130" s="779"/>
      <c r="H130" s="846"/>
      <c r="I130" s="840"/>
      <c r="J130" s="847"/>
      <c r="K130" s="779"/>
      <c r="L130" s="782"/>
      <c r="M130" s="782"/>
      <c r="N130" s="783"/>
      <c r="O130" s="783"/>
      <c r="P130" s="875"/>
      <c r="Q130" s="876"/>
      <c r="R130" s="875"/>
      <c r="S130" s="785"/>
      <c r="T130" s="794" t="s">
        <v>37</v>
      </c>
      <c r="U130" s="794">
        <f>COUNTIF(D111:D130,"철")</f>
        <v>0</v>
      </c>
      <c r="V130" s="795">
        <f>COUNTIF(I111:I130,"철")</f>
        <v>0</v>
      </c>
      <c r="W130" s="794" t="s">
        <v>26</v>
      </c>
      <c r="X130" s="794">
        <f>SUMIF(D111:D130,"철",F111:F130)</f>
        <v>0</v>
      </c>
      <c r="Y130" s="795">
        <f>SUMIF(I111:I130,"철",K111:K130)</f>
        <v>0</v>
      </c>
      <c r="Z130" s="770">
        <f>COUNTIF(AJ111:AJ130,"철국")+COUNTIF(AJ111:AJ130,"철공")</f>
        <v>0</v>
      </c>
      <c r="AA130" s="771">
        <f>COUNTIF(AK111:AK130,"철국")+COUNTIF(AK111:AK130,"철공")</f>
        <v>0</v>
      </c>
      <c r="AB130" s="794" t="s">
        <v>26</v>
      </c>
      <c r="AC130" s="770">
        <f>SUMIF(AJ111:AJ130,"철국",F111:F130)+SUMIF(AJ111:AJ130,"철공",F111:F130)</f>
        <v>0</v>
      </c>
      <c r="AD130" s="771">
        <f>SUMIF(AK111:AK130,"철국",K111:K130)+SUMIF(AK111:AK130,"철공",K111:K130)</f>
        <v>0</v>
      </c>
      <c r="AE130" s="794"/>
      <c r="AF130" s="795"/>
      <c r="AG130" s="794"/>
      <c r="AH130" s="794"/>
      <c r="AI130" s="795"/>
      <c r="AJ130" s="770" t="str">
        <f t="shared" si="36"/>
        <v/>
      </c>
      <c r="AK130" s="770" t="str">
        <f t="shared" si="24"/>
        <v/>
      </c>
      <c r="AL130" s="772"/>
      <c r="AM130" s="772"/>
    </row>
    <row r="131" spans="1:39" s="755" customFormat="1" ht="24" hidden="1" customHeight="1" thickBot="1" x14ac:dyDescent="0.2">
      <c r="A131" s="796" t="s">
        <v>48</v>
      </c>
      <c r="B131" s="797"/>
      <c r="C131" s="797"/>
      <c r="D131" s="797"/>
      <c r="E131" s="797"/>
      <c r="F131" s="798">
        <f>SUM(F111:F130)</f>
        <v>0</v>
      </c>
      <c r="G131" s="799"/>
      <c r="H131" s="799"/>
      <c r="I131" s="827"/>
      <c r="J131" s="828"/>
      <c r="K131" s="829">
        <f>SUM(K111:K130)</f>
        <v>0</v>
      </c>
      <c r="L131" s="803"/>
      <c r="M131" s="803"/>
      <c r="N131" s="804"/>
      <c r="O131" s="804"/>
      <c r="P131" s="803"/>
      <c r="Q131" s="803"/>
      <c r="R131" s="803"/>
      <c r="S131" s="805"/>
      <c r="T131" s="806" t="s">
        <v>24</v>
      </c>
      <c r="U131" s="807">
        <f t="shared" ref="U131:AA131" si="37">SUM(U111:U130)</f>
        <v>0</v>
      </c>
      <c r="V131" s="807">
        <f t="shared" si="37"/>
        <v>0</v>
      </c>
      <c r="W131" s="807">
        <f t="shared" si="37"/>
        <v>0</v>
      </c>
      <c r="X131" s="807">
        <f t="shared" si="37"/>
        <v>0</v>
      </c>
      <c r="Y131" s="807">
        <f t="shared" si="37"/>
        <v>0</v>
      </c>
      <c r="Z131" s="822">
        <f t="shared" si="37"/>
        <v>0</v>
      </c>
      <c r="AA131" s="823">
        <f t="shared" si="37"/>
        <v>0</v>
      </c>
      <c r="AB131" s="822" t="s">
        <v>26</v>
      </c>
      <c r="AC131" s="822">
        <f>SUM(AC111:AC130)</f>
        <v>0</v>
      </c>
      <c r="AD131" s="823">
        <f>SUM(AD111:AD130)</f>
        <v>0</v>
      </c>
      <c r="AE131" s="807">
        <f>SUM(AE111:AE130)</f>
        <v>0</v>
      </c>
      <c r="AF131" s="807">
        <f>SUM(AF111:AF130)</f>
        <v>0</v>
      </c>
      <c r="AG131" s="807" t="s">
        <v>26</v>
      </c>
      <c r="AH131" s="807">
        <f>SUM(AH111:AH130)</f>
        <v>0</v>
      </c>
      <c r="AI131" s="807">
        <f>SUM(AI111:AI130)</f>
        <v>0</v>
      </c>
      <c r="AJ131" s="807"/>
      <c r="AK131" s="770" t="str">
        <f t="shared" si="24"/>
        <v/>
      </c>
    </row>
    <row r="132" spans="1:39" s="773" customFormat="1" ht="24" hidden="1" customHeight="1" x14ac:dyDescent="0.15">
      <c r="A132" s="877">
        <v>121</v>
      </c>
      <c r="B132" s="878"/>
      <c r="C132" s="879"/>
      <c r="D132" s="879"/>
      <c r="E132" s="880"/>
      <c r="F132" s="881"/>
      <c r="G132" s="765"/>
      <c r="H132" s="854"/>
      <c r="I132" s="855"/>
      <c r="J132" s="856"/>
      <c r="K132" s="765"/>
      <c r="L132" s="766"/>
      <c r="M132" s="766"/>
      <c r="N132" s="767"/>
      <c r="O132" s="767"/>
      <c r="P132" s="882"/>
      <c r="Q132" s="882"/>
      <c r="R132" s="882"/>
      <c r="S132" s="883"/>
      <c r="T132" s="770" t="s">
        <v>27</v>
      </c>
      <c r="U132" s="770">
        <f>COUNTIF(D132:D151,"전")</f>
        <v>0</v>
      </c>
      <c r="V132" s="771">
        <f>COUNTIF(I132:I151,"전")</f>
        <v>0</v>
      </c>
      <c r="W132" s="770" t="s">
        <v>26</v>
      </c>
      <c r="X132" s="770">
        <f>SUMIF(D132:D151,"전",F132:F151)</f>
        <v>0</v>
      </c>
      <c r="Y132" s="771">
        <f>SUMIF(I132:I151,"전",K132:K151)</f>
        <v>0</v>
      </c>
      <c r="Z132" s="770">
        <f>COUNTIF(AJ132:AJ151,"전국")+COUNTIF(AJ132:AJ151,"전공")</f>
        <v>0</v>
      </c>
      <c r="AA132" s="771">
        <f>COUNTIF(AK132:AK151,"전국")+COUNTIF(AK132:AK151,"전공")</f>
        <v>0</v>
      </c>
      <c r="AB132" s="770" t="s">
        <v>26</v>
      </c>
      <c r="AC132" s="770">
        <f>SUMIF(AJ132:AJ151,"전국",F132:F151)+SUMIF(AJ132:AJ151,"전공",F132:F151)</f>
        <v>0</v>
      </c>
      <c r="AD132" s="771">
        <f>SUMIF(AK132:AK151,"전국",K132:K151)+SUMIF(AK132:AK151,"전공",K132:K151)</f>
        <v>0</v>
      </c>
      <c r="AE132" s="770">
        <f t="shared" ref="AE132:AE148" si="38">U132-Z132</f>
        <v>0</v>
      </c>
      <c r="AF132" s="771">
        <f t="shared" ref="AF132:AF148" si="39">V132-AA132</f>
        <v>0</v>
      </c>
      <c r="AG132" s="770" t="s">
        <v>26</v>
      </c>
      <c r="AH132" s="770">
        <f t="shared" ref="AH132:AH148" si="40">X132-AC132</f>
        <v>0</v>
      </c>
      <c r="AI132" s="771">
        <f t="shared" ref="AI132:AI148" si="41">Y132-AD132</f>
        <v>0</v>
      </c>
      <c r="AJ132" s="770" t="str">
        <f t="shared" ref="AJ132:AJ151" si="42">CONCATENATE(D132,L132)</f>
        <v/>
      </c>
      <c r="AK132" s="770" t="str">
        <f t="shared" si="24"/>
        <v/>
      </c>
    </row>
    <row r="133" spans="1:39" s="773" customFormat="1" ht="24" hidden="1" customHeight="1" x14ac:dyDescent="0.15">
      <c r="A133" s="884">
        <v>122</v>
      </c>
      <c r="B133" s="654"/>
      <c r="C133" s="874"/>
      <c r="D133" s="654"/>
      <c r="E133" s="868"/>
      <c r="F133" s="868"/>
      <c r="G133" s="779"/>
      <c r="H133" s="842"/>
      <c r="I133" s="842"/>
      <c r="J133" s="847"/>
      <c r="K133" s="885"/>
      <c r="L133" s="782"/>
      <c r="M133" s="782"/>
      <c r="N133" s="783"/>
      <c r="O133" s="783"/>
      <c r="P133" s="886"/>
      <c r="Q133" s="886"/>
      <c r="R133" s="886"/>
      <c r="S133" s="887"/>
      <c r="T133" s="770" t="s">
        <v>28</v>
      </c>
      <c r="U133" s="770">
        <f>COUNTIF(D132:D151,"답")</f>
        <v>0</v>
      </c>
      <c r="V133" s="771">
        <f>COUNTIF(I132:I151,"답")</f>
        <v>0</v>
      </c>
      <c r="W133" s="770" t="s">
        <v>26</v>
      </c>
      <c r="X133" s="770">
        <f>SUMIF(D132:D151,"답",F132:F151)</f>
        <v>0</v>
      </c>
      <c r="Y133" s="771">
        <f>SUMIF(I132:I151,"답",K132:K151)</f>
        <v>0</v>
      </c>
      <c r="Z133" s="770">
        <f>COUNTIF(AJ132:AJ151,"답국")+COUNTIF(AJ132:AJ151,"답공")</f>
        <v>0</v>
      </c>
      <c r="AA133" s="771">
        <f>COUNTIF(AK132:AK151,"답국")+COUNTIF(AK132:AK151,"답공")</f>
        <v>0</v>
      </c>
      <c r="AB133" s="770" t="s">
        <v>26</v>
      </c>
      <c r="AC133" s="770">
        <f>SUMIF(AJ132:AJ151,"답국",F132:F151)+SUMIF(AJ132:AJ151,"답공",F132:F151)</f>
        <v>0</v>
      </c>
      <c r="AD133" s="771">
        <f>SUMIF(AK132:AK151,"답국",K132:K151)+SUMIF(AK132:AK151,"답공",K132:K151)</f>
        <v>0</v>
      </c>
      <c r="AE133" s="770">
        <f t="shared" si="38"/>
        <v>0</v>
      </c>
      <c r="AF133" s="771">
        <f t="shared" si="39"/>
        <v>0</v>
      </c>
      <c r="AG133" s="770" t="s">
        <v>26</v>
      </c>
      <c r="AH133" s="770">
        <f t="shared" si="40"/>
        <v>0</v>
      </c>
      <c r="AI133" s="771">
        <f t="shared" si="41"/>
        <v>0</v>
      </c>
      <c r="AJ133" s="770" t="str">
        <f t="shared" si="42"/>
        <v/>
      </c>
      <c r="AK133" s="770" t="str">
        <f t="shared" si="24"/>
        <v/>
      </c>
    </row>
    <row r="134" spans="1:39" s="773" customFormat="1" ht="24" hidden="1" customHeight="1" x14ac:dyDescent="0.15">
      <c r="A134" s="884">
        <v>123</v>
      </c>
      <c r="B134" s="654"/>
      <c r="C134" s="874"/>
      <c r="D134" s="654"/>
      <c r="E134" s="868"/>
      <c r="F134" s="868"/>
      <c r="G134" s="779"/>
      <c r="H134" s="888"/>
      <c r="I134" s="842"/>
      <c r="J134" s="847"/>
      <c r="K134" s="885"/>
      <c r="L134" s="782"/>
      <c r="M134" s="782"/>
      <c r="N134" s="783"/>
      <c r="O134" s="783"/>
      <c r="P134" s="886"/>
      <c r="Q134" s="886"/>
      <c r="R134" s="886"/>
      <c r="S134" s="887"/>
      <c r="T134" s="770" t="s">
        <v>44</v>
      </c>
      <c r="U134" s="770">
        <f>COUNTIF(D132:D151,"임")</f>
        <v>0</v>
      </c>
      <c r="V134" s="771">
        <f>COUNTIF(I132:I151,"임")</f>
        <v>0</v>
      </c>
      <c r="W134" s="770" t="s">
        <v>26</v>
      </c>
      <c r="X134" s="770">
        <f>SUMIF(D132:D151,"임",F132:F151)</f>
        <v>0</v>
      </c>
      <c r="Y134" s="771">
        <f>SUMIF(I132:I151,"임",K132:K151)</f>
        <v>0</v>
      </c>
      <c r="Z134" s="770">
        <f>COUNTIF(AJ132:AJ151,"임국")+COUNTIF(AJ132:AJ151,"임공")</f>
        <v>0</v>
      </c>
      <c r="AA134" s="771">
        <f>COUNTIF(AK132:AK151,"임국")+COUNTIF(AK132:AK151,"임공")</f>
        <v>0</v>
      </c>
      <c r="AB134" s="770" t="s">
        <v>26</v>
      </c>
      <c r="AC134" s="770">
        <f>SUMIF(AJ132:AJ151,"임국",F132:F151)+SUMIF(AJ132:AJ151,"임공",F132:F151)</f>
        <v>0</v>
      </c>
      <c r="AD134" s="771">
        <f>SUMIF(AK132:AK151,"임국",K132:K151)+SUMIF(AK132:AK151,"임공",K132:K151)</f>
        <v>0</v>
      </c>
      <c r="AE134" s="770">
        <f t="shared" si="38"/>
        <v>0</v>
      </c>
      <c r="AF134" s="771">
        <f t="shared" si="39"/>
        <v>0</v>
      </c>
      <c r="AG134" s="770" t="s">
        <v>26</v>
      </c>
      <c r="AH134" s="770">
        <f t="shared" si="40"/>
        <v>0</v>
      </c>
      <c r="AI134" s="771">
        <f t="shared" si="41"/>
        <v>0</v>
      </c>
      <c r="AJ134" s="770" t="str">
        <f t="shared" si="42"/>
        <v/>
      </c>
      <c r="AK134" s="770" t="str">
        <f t="shared" si="24"/>
        <v/>
      </c>
      <c r="AL134" s="772"/>
      <c r="AM134" s="772"/>
    </row>
    <row r="135" spans="1:39" s="773" customFormat="1" ht="24" hidden="1" customHeight="1" x14ac:dyDescent="0.15">
      <c r="A135" s="884">
        <v>124</v>
      </c>
      <c r="B135" s="654"/>
      <c r="C135" s="874"/>
      <c r="D135" s="654"/>
      <c r="E135" s="868"/>
      <c r="F135" s="868"/>
      <c r="G135" s="779"/>
      <c r="H135" s="842"/>
      <c r="I135" s="842"/>
      <c r="J135" s="847"/>
      <c r="K135" s="885"/>
      <c r="L135" s="782"/>
      <c r="M135" s="782"/>
      <c r="N135" s="783"/>
      <c r="O135" s="783"/>
      <c r="P135" s="886"/>
      <c r="Q135" s="886"/>
      <c r="R135" s="886"/>
      <c r="S135" s="887"/>
      <c r="T135" s="770" t="s">
        <v>45</v>
      </c>
      <c r="U135" s="770">
        <f>COUNTIF(D132:D151,"대")</f>
        <v>0</v>
      </c>
      <c r="V135" s="771">
        <f>COUNTIF(I132:I151,"대")</f>
        <v>0</v>
      </c>
      <c r="W135" s="770" t="s">
        <v>26</v>
      </c>
      <c r="X135" s="770">
        <f>SUMIF(D132:D151,"대",F132:F151)</f>
        <v>0</v>
      </c>
      <c r="Y135" s="771">
        <f>SUMIF(I132:I151,"대",K132:K151)</f>
        <v>0</v>
      </c>
      <c r="Z135" s="770">
        <f>COUNTIF(AJ132:AJ151,"대국")+COUNTIF(AJ132:AJ151,"대공")</f>
        <v>0</v>
      </c>
      <c r="AA135" s="771">
        <f>COUNTIF(AK132:AK151,"대국")+COUNTIF(AK132:AK151,"대공")</f>
        <v>0</v>
      </c>
      <c r="AB135" s="770" t="s">
        <v>26</v>
      </c>
      <c r="AC135" s="770">
        <f>SUMIF(AJ132:AJ151,"대국",F132:F151)+SUMIF(AJ132:AJ151,"대공",F132:F151)</f>
        <v>0</v>
      </c>
      <c r="AD135" s="771">
        <f>SUMIF(AK132:AK151,"대국",K132:K151)+SUMIF(AK132:AK151,"대공",K132:K151)</f>
        <v>0</v>
      </c>
      <c r="AE135" s="770">
        <f t="shared" si="38"/>
        <v>0</v>
      </c>
      <c r="AF135" s="771">
        <f t="shared" si="39"/>
        <v>0</v>
      </c>
      <c r="AG135" s="770" t="s">
        <v>26</v>
      </c>
      <c r="AH135" s="770">
        <f t="shared" si="40"/>
        <v>0</v>
      </c>
      <c r="AI135" s="771">
        <f t="shared" si="41"/>
        <v>0</v>
      </c>
      <c r="AJ135" s="770" t="str">
        <f t="shared" si="42"/>
        <v/>
      </c>
      <c r="AK135" s="770" t="str">
        <f t="shared" ref="AK135:AK198" si="43">CONCATENATE(I135,N135)</f>
        <v/>
      </c>
      <c r="AL135" s="772"/>
      <c r="AM135" s="772"/>
    </row>
    <row r="136" spans="1:39" s="773" customFormat="1" ht="24" hidden="1" customHeight="1" x14ac:dyDescent="0.15">
      <c r="A136" s="884">
        <v>125</v>
      </c>
      <c r="B136" s="654"/>
      <c r="C136" s="654"/>
      <c r="D136" s="654"/>
      <c r="E136" s="868"/>
      <c r="F136" s="868"/>
      <c r="G136" s="779"/>
      <c r="H136" s="842"/>
      <c r="I136" s="842"/>
      <c r="J136" s="847"/>
      <c r="K136" s="885"/>
      <c r="L136" s="782"/>
      <c r="M136" s="782"/>
      <c r="N136" s="783"/>
      <c r="O136" s="783"/>
      <c r="P136" s="889"/>
      <c r="Q136" s="890"/>
      <c r="R136" s="889"/>
      <c r="S136" s="887"/>
      <c r="T136" s="770" t="s">
        <v>31</v>
      </c>
      <c r="U136" s="770">
        <f>COUNTIF(D132:D151,"도")</f>
        <v>0</v>
      </c>
      <c r="V136" s="771">
        <f>COUNTIF(I132:I151,"도")</f>
        <v>0</v>
      </c>
      <c r="W136" s="770" t="s">
        <v>26</v>
      </c>
      <c r="X136" s="770">
        <f>SUMIF(D132:D151,"도",F132:F151)</f>
        <v>0</v>
      </c>
      <c r="Y136" s="771">
        <f>SUMIF(I132:I151,"도",K132:K151)</f>
        <v>0</v>
      </c>
      <c r="Z136" s="770">
        <f>COUNTIF(AJ132:AJ151,"도국")+COUNTIF(AJ132:AJ151,"도공")</f>
        <v>0</v>
      </c>
      <c r="AA136" s="771">
        <f>COUNTIF(AK132:AK151,"도국")+COUNTIF(AK132:AK151,"도공")</f>
        <v>0</v>
      </c>
      <c r="AB136" s="770" t="s">
        <v>26</v>
      </c>
      <c r="AC136" s="770">
        <f>SUMIF(AJ132:AJ151,"도국",F132:F151)+SUMIF(AJ132:AJ151,"도공",F132:F151)</f>
        <v>0</v>
      </c>
      <c r="AD136" s="771">
        <f>SUMIF(AK132:AK151,"도국",K132:K151)+SUMIF(AK132:AK151,"도공",K132:K151)</f>
        <v>0</v>
      </c>
      <c r="AE136" s="770">
        <f t="shared" si="38"/>
        <v>0</v>
      </c>
      <c r="AF136" s="771">
        <f t="shared" si="39"/>
        <v>0</v>
      </c>
      <c r="AG136" s="770" t="s">
        <v>26</v>
      </c>
      <c r="AH136" s="770">
        <f t="shared" si="40"/>
        <v>0</v>
      </c>
      <c r="AI136" s="771">
        <f t="shared" si="41"/>
        <v>0</v>
      </c>
      <c r="AJ136" s="770" t="str">
        <f t="shared" si="42"/>
        <v/>
      </c>
      <c r="AK136" s="770" t="str">
        <f t="shared" si="43"/>
        <v/>
      </c>
      <c r="AL136" s="772"/>
      <c r="AM136" s="772"/>
    </row>
    <row r="137" spans="1:39" s="773" customFormat="1" ht="24" hidden="1" customHeight="1" x14ac:dyDescent="0.15">
      <c r="A137" s="884">
        <v>126</v>
      </c>
      <c r="B137" s="654"/>
      <c r="C137" s="654"/>
      <c r="D137" s="776"/>
      <c r="E137" s="868"/>
      <c r="F137" s="869"/>
      <c r="G137" s="779"/>
      <c r="H137" s="842"/>
      <c r="I137" s="842"/>
      <c r="J137" s="847"/>
      <c r="K137" s="885"/>
      <c r="L137" s="782"/>
      <c r="M137" s="782"/>
      <c r="N137" s="783"/>
      <c r="O137" s="783"/>
      <c r="P137" s="886"/>
      <c r="Q137" s="886"/>
      <c r="R137" s="886"/>
      <c r="S137" s="887"/>
      <c r="T137" s="770" t="s">
        <v>32</v>
      </c>
      <c r="U137" s="786">
        <f>COUNTIF(D132:D151,"천")</f>
        <v>0</v>
      </c>
      <c r="V137" s="787">
        <f>COUNTIF(I132:I151,"천")</f>
        <v>0</v>
      </c>
      <c r="W137" s="770" t="s">
        <v>26</v>
      </c>
      <c r="X137" s="770">
        <f>SUMIF(D132:D151,"천",F132:F151)</f>
        <v>0</v>
      </c>
      <c r="Y137" s="771">
        <f>SUMIF(I132:I151,"천",K132:K151)</f>
        <v>0</v>
      </c>
      <c r="Z137" s="770">
        <f>COUNTIF(AJ132:AJ151,"천국")+COUNTIF(AJ132:AJ151,"천공")</f>
        <v>0</v>
      </c>
      <c r="AA137" s="771">
        <f>COUNTIF(AK132:AK151,"천국")+COUNTIF(AK132:AK151,"천공")</f>
        <v>0</v>
      </c>
      <c r="AB137" s="770" t="s">
        <v>26</v>
      </c>
      <c r="AC137" s="770">
        <f>SUMIF(AJ132:AJ151,"천국",F132:F151)+SUMIF(AJ132:AJ151,"천공",F132:F151)</f>
        <v>0</v>
      </c>
      <c r="AD137" s="771">
        <f>SUMIF(AK132:AK151,"천국",K132:K151)+SUMIF(AK132:AK151,"천공",K132:K151)</f>
        <v>0</v>
      </c>
      <c r="AE137" s="770">
        <f t="shared" si="38"/>
        <v>0</v>
      </c>
      <c r="AF137" s="771">
        <f t="shared" si="39"/>
        <v>0</v>
      </c>
      <c r="AG137" s="770" t="s">
        <v>26</v>
      </c>
      <c r="AH137" s="770">
        <f t="shared" si="40"/>
        <v>0</v>
      </c>
      <c r="AI137" s="771">
        <f t="shared" si="41"/>
        <v>0</v>
      </c>
      <c r="AJ137" s="770" t="str">
        <f t="shared" si="42"/>
        <v/>
      </c>
      <c r="AK137" s="770" t="str">
        <f t="shared" si="43"/>
        <v/>
      </c>
      <c r="AL137" s="772"/>
      <c r="AM137" s="772"/>
    </row>
    <row r="138" spans="1:39" s="773" customFormat="1" ht="24" hidden="1" customHeight="1" x14ac:dyDescent="0.15">
      <c r="A138" s="884">
        <v>127</v>
      </c>
      <c r="B138" s="654"/>
      <c r="C138" s="654"/>
      <c r="D138" s="776"/>
      <c r="E138" s="868"/>
      <c r="F138" s="869"/>
      <c r="G138" s="779"/>
      <c r="H138" s="842"/>
      <c r="I138" s="842"/>
      <c r="J138" s="847"/>
      <c r="K138" s="885"/>
      <c r="L138" s="782"/>
      <c r="M138" s="782"/>
      <c r="N138" s="783"/>
      <c r="O138" s="783"/>
      <c r="P138" s="886"/>
      <c r="Q138" s="886"/>
      <c r="R138" s="886"/>
      <c r="S138" s="887"/>
      <c r="T138" s="770" t="s">
        <v>33</v>
      </c>
      <c r="U138" s="770">
        <f>COUNTIF(D132:D151,"구")</f>
        <v>0</v>
      </c>
      <c r="V138" s="771">
        <f>COUNTIF(I132:I151,"구")</f>
        <v>0</v>
      </c>
      <c r="W138" s="770" t="s">
        <v>26</v>
      </c>
      <c r="X138" s="770">
        <f>SUMIF(D132:D151,"구",F132:F151)</f>
        <v>0</v>
      </c>
      <c r="Y138" s="771">
        <f>SUMIF(I132:I151,"구",K132:K151)</f>
        <v>0</v>
      </c>
      <c r="Z138" s="770">
        <f>COUNTIF(AJ132:AJ151,"구국")+COUNTIF(AJ132:AJ151,"구공")</f>
        <v>0</v>
      </c>
      <c r="AA138" s="771">
        <f>COUNTIF(AK132:AK151,"구국")+COUNTIF(AK132:AK151,"구공")</f>
        <v>0</v>
      </c>
      <c r="AB138" s="770" t="s">
        <v>26</v>
      </c>
      <c r="AC138" s="770">
        <f>SUMIF(AJ132:AJ151,"구국",F132:F151)+SUMIF(AJ132:AJ151,"구공",F132:F151)</f>
        <v>0</v>
      </c>
      <c r="AD138" s="771">
        <f>SUMIF(AK132:AK151,"구국",K132:K151)+SUMIF(AK132:AK151,"구공",K132:K151)</f>
        <v>0</v>
      </c>
      <c r="AE138" s="770">
        <f t="shared" si="38"/>
        <v>0</v>
      </c>
      <c r="AF138" s="771">
        <f t="shared" si="39"/>
        <v>0</v>
      </c>
      <c r="AG138" s="770" t="s">
        <v>26</v>
      </c>
      <c r="AH138" s="770">
        <f t="shared" si="40"/>
        <v>0</v>
      </c>
      <c r="AI138" s="771">
        <f t="shared" si="41"/>
        <v>0</v>
      </c>
      <c r="AJ138" s="770" t="str">
        <f t="shared" si="42"/>
        <v/>
      </c>
      <c r="AK138" s="770" t="str">
        <f t="shared" si="43"/>
        <v/>
      </c>
      <c r="AL138" s="772"/>
      <c r="AM138" s="772"/>
    </row>
    <row r="139" spans="1:39" s="773" customFormat="1" ht="24" hidden="1" customHeight="1" x14ac:dyDescent="0.15">
      <c r="A139" s="774">
        <v>128</v>
      </c>
      <c r="B139" s="775"/>
      <c r="C139" s="654"/>
      <c r="D139" s="776"/>
      <c r="E139" s="868"/>
      <c r="F139" s="869"/>
      <c r="G139" s="779"/>
      <c r="H139" s="842"/>
      <c r="I139" s="842"/>
      <c r="J139" s="847"/>
      <c r="K139" s="885"/>
      <c r="L139" s="782"/>
      <c r="M139" s="782"/>
      <c r="N139" s="783"/>
      <c r="O139" s="783"/>
      <c r="P139" s="886"/>
      <c r="Q139" s="886"/>
      <c r="R139" s="886"/>
      <c r="S139" s="887"/>
      <c r="T139" s="770" t="s">
        <v>34</v>
      </c>
      <c r="U139" s="770">
        <f>COUNTIF(D132:D151,"제")</f>
        <v>0</v>
      </c>
      <c r="V139" s="771">
        <f>COUNTIF(I132:I151,"제")</f>
        <v>0</v>
      </c>
      <c r="W139" s="770" t="s">
        <v>26</v>
      </c>
      <c r="X139" s="770">
        <f>SUMIF(D132:D151,"제",F132:F151)</f>
        <v>0</v>
      </c>
      <c r="Y139" s="771">
        <f>SUMIF(I132:I151,"제",K132:K151)</f>
        <v>0</v>
      </c>
      <c r="Z139" s="770">
        <f>COUNTIF(AJ132:AJ151,"제국")+COUNTIF(AJ132:AJ151,"제공")</f>
        <v>0</v>
      </c>
      <c r="AA139" s="771">
        <f>COUNTIF(AK132:AK151,"제국")+COUNTIF(AK132:AK151,"제공")</f>
        <v>0</v>
      </c>
      <c r="AB139" s="770" t="s">
        <v>26</v>
      </c>
      <c r="AC139" s="770">
        <f>SUMIF(AJ132:AJ151,"제국",F132:F151)+SUMIF(AJ132:AJ151,"제공",F132:F151)</f>
        <v>0</v>
      </c>
      <c r="AD139" s="771">
        <f>SUMIF(AK132:AK151,"제국",K132:K151)+SUMIF(AK132:AK151,"제공",K132:K151)</f>
        <v>0</v>
      </c>
      <c r="AE139" s="770">
        <f t="shared" si="38"/>
        <v>0</v>
      </c>
      <c r="AF139" s="771">
        <f t="shared" si="39"/>
        <v>0</v>
      </c>
      <c r="AG139" s="770" t="s">
        <v>26</v>
      </c>
      <c r="AH139" s="770">
        <f t="shared" si="40"/>
        <v>0</v>
      </c>
      <c r="AI139" s="771">
        <f t="shared" si="41"/>
        <v>0</v>
      </c>
      <c r="AJ139" s="770" t="str">
        <f t="shared" si="42"/>
        <v/>
      </c>
      <c r="AK139" s="770" t="str">
        <f t="shared" si="43"/>
        <v/>
      </c>
      <c r="AL139" s="772"/>
      <c r="AM139" s="772"/>
    </row>
    <row r="140" spans="1:39" s="773" customFormat="1" ht="24" hidden="1" customHeight="1" x14ac:dyDescent="0.15">
      <c r="A140" s="884">
        <v>129</v>
      </c>
      <c r="B140" s="654"/>
      <c r="C140" s="654"/>
      <c r="D140" s="776"/>
      <c r="E140" s="868"/>
      <c r="F140" s="869"/>
      <c r="G140" s="891"/>
      <c r="H140" s="846"/>
      <c r="I140" s="864"/>
      <c r="J140" s="830"/>
      <c r="K140" s="830"/>
      <c r="L140" s="892"/>
      <c r="M140" s="892"/>
      <c r="N140" s="893"/>
      <c r="O140" s="893"/>
      <c r="P140" s="894"/>
      <c r="Q140" s="894"/>
      <c r="R140" s="894"/>
      <c r="S140" s="887"/>
      <c r="T140" s="770" t="s">
        <v>46</v>
      </c>
      <c r="U140" s="770">
        <f>COUNTIF(D132:D151,"유")</f>
        <v>0</v>
      </c>
      <c r="V140" s="771">
        <f>COUNTIF(I132:I151,"유")</f>
        <v>0</v>
      </c>
      <c r="W140" s="770" t="s">
        <v>26</v>
      </c>
      <c r="X140" s="770">
        <f>SUMIF(D132:D151,"유",F132:F151)</f>
        <v>0</v>
      </c>
      <c r="Y140" s="771">
        <f>SUMIF(I132:I151,"유",K132:K151)</f>
        <v>0</v>
      </c>
      <c r="Z140" s="770">
        <f>COUNTIF(AJ132:AJ151,"유국")+COUNTIF(AJ132:AJ151,"유공")</f>
        <v>0</v>
      </c>
      <c r="AA140" s="771">
        <f>COUNTIF(AK132:AK151,"유국")+COUNTIF(AK132:AK151,"유공")</f>
        <v>0</v>
      </c>
      <c r="AB140" s="770" t="s">
        <v>26</v>
      </c>
      <c r="AC140" s="770">
        <f>SUMIF(AJ132:AJ151,"유국",F132:F151)+SUMIF(AJ132:AJ151,"유공",F132:F151)</f>
        <v>0</v>
      </c>
      <c r="AD140" s="771">
        <f>SUMIF(AK132:AK151,"유국",K132:K151)+SUMIF(AK132:AK151,"유공",K132:K151)</f>
        <v>0</v>
      </c>
      <c r="AE140" s="770">
        <f t="shared" si="38"/>
        <v>0</v>
      </c>
      <c r="AF140" s="771">
        <f t="shared" si="39"/>
        <v>0</v>
      </c>
      <c r="AG140" s="770" t="s">
        <v>26</v>
      </c>
      <c r="AH140" s="770">
        <f t="shared" si="40"/>
        <v>0</v>
      </c>
      <c r="AI140" s="771">
        <f t="shared" si="41"/>
        <v>0</v>
      </c>
      <c r="AJ140" s="770" t="str">
        <f t="shared" si="42"/>
        <v/>
      </c>
      <c r="AK140" s="770" t="str">
        <f t="shared" si="43"/>
        <v/>
      </c>
      <c r="AL140" s="772"/>
      <c r="AM140" s="772"/>
    </row>
    <row r="141" spans="1:39" s="773" customFormat="1" ht="24" hidden="1" customHeight="1" x14ac:dyDescent="0.15">
      <c r="A141" s="884">
        <v>130</v>
      </c>
      <c r="B141" s="654"/>
      <c r="C141" s="654"/>
      <c r="D141" s="776"/>
      <c r="E141" s="868"/>
      <c r="F141" s="869"/>
      <c r="G141" s="891"/>
      <c r="H141" s="846"/>
      <c r="I141" s="840"/>
      <c r="J141" s="847"/>
      <c r="K141" s="779"/>
      <c r="L141" s="654"/>
      <c r="M141" s="655"/>
      <c r="N141" s="895"/>
      <c r="O141" s="895"/>
      <c r="P141" s="886"/>
      <c r="Q141" s="886"/>
      <c r="R141" s="886"/>
      <c r="S141" s="887"/>
      <c r="T141" s="770" t="s">
        <v>47</v>
      </c>
      <c r="U141" s="770">
        <f>COUNTIF(D132:D151,"과")</f>
        <v>0</v>
      </c>
      <c r="V141" s="771">
        <f>COUNTIF(I132:I151,"과")</f>
        <v>0</v>
      </c>
      <c r="W141" s="770" t="s">
        <v>26</v>
      </c>
      <c r="X141" s="770">
        <f>SUMIF(D132:D151,"과",F132:F151)</f>
        <v>0</v>
      </c>
      <c r="Y141" s="771">
        <f>SUMIF(I132:I151,"과",K132:K151)</f>
        <v>0</v>
      </c>
      <c r="Z141" s="770">
        <f>COUNTIF(AJ132:AJ151,"과국")+COUNTIF(AJ132:AJ151,"과공")</f>
        <v>0</v>
      </c>
      <c r="AA141" s="771">
        <f>COUNTIF(AK132:AK151,"과국")+COUNTIF(AK132:AK151,"과공")</f>
        <v>0</v>
      </c>
      <c r="AB141" s="770" t="s">
        <v>26</v>
      </c>
      <c r="AC141" s="770">
        <f>SUMIF(AJ132:AJ151,"과국",F132:F151)+SUMIF(AJ132:AJ151,"과공",F132:F151)</f>
        <v>0</v>
      </c>
      <c r="AD141" s="771">
        <f>SUMIF(AK132:AK151,"과국",K132:K151)+SUMIF(AK132:AK151,"과공",K132:K151)</f>
        <v>0</v>
      </c>
      <c r="AE141" s="770">
        <f t="shared" si="38"/>
        <v>0</v>
      </c>
      <c r="AF141" s="771">
        <f t="shared" si="39"/>
        <v>0</v>
      </c>
      <c r="AG141" s="770" t="s">
        <v>26</v>
      </c>
      <c r="AH141" s="770">
        <f t="shared" si="40"/>
        <v>0</v>
      </c>
      <c r="AI141" s="771">
        <f t="shared" si="41"/>
        <v>0</v>
      </c>
      <c r="AJ141" s="770" t="str">
        <f t="shared" si="42"/>
        <v/>
      </c>
      <c r="AK141" s="770" t="str">
        <f t="shared" si="43"/>
        <v/>
      </c>
      <c r="AL141" s="772"/>
      <c r="AM141" s="772"/>
    </row>
    <row r="142" spans="1:39" s="773" customFormat="1" ht="24" hidden="1" customHeight="1" x14ac:dyDescent="0.15">
      <c r="A142" s="884">
        <v>131</v>
      </c>
      <c r="B142" s="654"/>
      <c r="C142" s="654"/>
      <c r="D142" s="776"/>
      <c r="E142" s="868"/>
      <c r="F142" s="869"/>
      <c r="G142" s="891"/>
      <c r="H142" s="842"/>
      <c r="I142" s="842"/>
      <c r="J142" s="843"/>
      <c r="K142" s="843"/>
      <c r="L142" s="655"/>
      <c r="M142" s="655"/>
      <c r="N142" s="895"/>
      <c r="O142" s="895"/>
      <c r="P142" s="886"/>
      <c r="Q142" s="886"/>
      <c r="R142" s="886"/>
      <c r="S142" s="887"/>
      <c r="T142" s="770" t="s">
        <v>36</v>
      </c>
      <c r="U142" s="770">
        <f>COUNTIF(D132:D151,"묘")</f>
        <v>0</v>
      </c>
      <c r="V142" s="771">
        <f>COUNTIF(I132:I151,"묘")</f>
        <v>0</v>
      </c>
      <c r="W142" s="770" t="s">
        <v>26</v>
      </c>
      <c r="X142" s="770">
        <f>SUMIF(D132:D151,"묘",F132:F151)</f>
        <v>0</v>
      </c>
      <c r="Y142" s="771">
        <f>SUMIF(I132:I151,"묘",K132:K151)</f>
        <v>0</v>
      </c>
      <c r="Z142" s="770">
        <f>COUNTIF(AJ132:AJ151,"묘국")+COUNTIF(AJ132:AJ151,"묘공")</f>
        <v>0</v>
      </c>
      <c r="AA142" s="771">
        <f>COUNTIF(AK132:AK151,"묘국")+COUNTIF(AK132:AK151,"묘공")</f>
        <v>0</v>
      </c>
      <c r="AB142" s="770" t="s">
        <v>26</v>
      </c>
      <c r="AC142" s="770">
        <f>SUMIF(AJ132:AJ151,"묘국",F132:F151)+SUMIF(AJ132:AJ151,"묘공",F132:F151)</f>
        <v>0</v>
      </c>
      <c r="AD142" s="771">
        <f>SUMIF(AK132:AK151,"묘국",K132:K151)+SUMIF(AK132:AK151,"묘공",K132:K151)</f>
        <v>0</v>
      </c>
      <c r="AE142" s="770">
        <f t="shared" si="38"/>
        <v>0</v>
      </c>
      <c r="AF142" s="771">
        <f t="shared" si="39"/>
        <v>0</v>
      </c>
      <c r="AG142" s="770" t="s">
        <v>26</v>
      </c>
      <c r="AH142" s="770">
        <f t="shared" si="40"/>
        <v>0</v>
      </c>
      <c r="AI142" s="771">
        <f t="shared" si="41"/>
        <v>0</v>
      </c>
      <c r="AJ142" s="770" t="str">
        <f t="shared" si="42"/>
        <v/>
      </c>
      <c r="AK142" s="770" t="str">
        <f t="shared" si="43"/>
        <v/>
      </c>
      <c r="AL142" s="772"/>
      <c r="AM142" s="772"/>
    </row>
    <row r="143" spans="1:39" s="773" customFormat="1" ht="24" hidden="1" customHeight="1" x14ac:dyDescent="0.15">
      <c r="A143" s="884">
        <v>132</v>
      </c>
      <c r="B143" s="654"/>
      <c r="C143" s="775"/>
      <c r="D143" s="775"/>
      <c r="E143" s="873"/>
      <c r="F143" s="869"/>
      <c r="G143" s="891"/>
      <c r="H143" s="851"/>
      <c r="I143" s="851"/>
      <c r="J143" s="843"/>
      <c r="K143" s="843"/>
      <c r="L143" s="654"/>
      <c r="M143" s="655"/>
      <c r="N143" s="895"/>
      <c r="O143" s="895"/>
      <c r="P143" s="886"/>
      <c r="Q143" s="886"/>
      <c r="R143" s="886"/>
      <c r="S143" s="887"/>
      <c r="T143" s="770" t="s">
        <v>39</v>
      </c>
      <c r="U143" s="770">
        <f>COUNTIF(D132:D151,"수")</f>
        <v>0</v>
      </c>
      <c r="V143" s="771">
        <f>COUNTIF(I132:I151,"수")</f>
        <v>0</v>
      </c>
      <c r="W143" s="770" t="s">
        <v>26</v>
      </c>
      <c r="X143" s="770">
        <f>SUMIF(D132:D151,"수",F132:F151)</f>
        <v>0</v>
      </c>
      <c r="Y143" s="771">
        <f>SUMIF(I132:I151,"수",K132:K151)</f>
        <v>0</v>
      </c>
      <c r="Z143" s="770">
        <f>COUNTIF(AJ132:AJ151,"수국")+COUNTIF(AJ132:AJ151,"수공")</f>
        <v>0</v>
      </c>
      <c r="AA143" s="771">
        <f>COUNTIF(AK132:AK151,"수국")+COUNTIF(AK132:AK151,"수공")</f>
        <v>0</v>
      </c>
      <c r="AB143" s="770" t="s">
        <v>26</v>
      </c>
      <c r="AC143" s="770">
        <f>SUMIF(AJ132:AJ151,"수국",F132:F151)+SUMIF(AJ132:AJ151,"수공",F132:F151)</f>
        <v>0</v>
      </c>
      <c r="AD143" s="771">
        <f>SUMIF(AK132:AK151,"수국",K132:K151)+SUMIF(AK132:AK151,"수공",K132:K151)</f>
        <v>0</v>
      </c>
      <c r="AE143" s="770">
        <f t="shared" si="38"/>
        <v>0</v>
      </c>
      <c r="AF143" s="771">
        <f t="shared" si="39"/>
        <v>0</v>
      </c>
      <c r="AG143" s="770" t="s">
        <v>26</v>
      </c>
      <c r="AH143" s="770">
        <f t="shared" si="40"/>
        <v>0</v>
      </c>
      <c r="AI143" s="771">
        <f t="shared" si="41"/>
        <v>0</v>
      </c>
      <c r="AJ143" s="770" t="str">
        <f t="shared" si="42"/>
        <v/>
      </c>
      <c r="AK143" s="770" t="str">
        <f t="shared" si="43"/>
        <v/>
      </c>
      <c r="AL143" s="772"/>
      <c r="AM143" s="772"/>
    </row>
    <row r="144" spans="1:39" s="773" customFormat="1" ht="24" hidden="1" customHeight="1" x14ac:dyDescent="0.15">
      <c r="A144" s="884">
        <v>133</v>
      </c>
      <c r="B144" s="654"/>
      <c r="C144" s="775"/>
      <c r="D144" s="775"/>
      <c r="E144" s="873"/>
      <c r="F144" s="869"/>
      <c r="G144" s="891"/>
      <c r="H144" s="846"/>
      <c r="I144" s="840"/>
      <c r="J144" s="847"/>
      <c r="K144" s="779"/>
      <c r="L144" s="654"/>
      <c r="M144" s="655"/>
      <c r="N144" s="896"/>
      <c r="O144" s="895"/>
      <c r="P144" s="889"/>
      <c r="Q144" s="890"/>
      <c r="R144" s="889"/>
      <c r="S144" s="887"/>
      <c r="T144" s="770" t="s">
        <v>35</v>
      </c>
      <c r="U144" s="770">
        <f>COUNTIF(D132:D151,"잡")</f>
        <v>0</v>
      </c>
      <c r="V144" s="771">
        <f>COUNTIF(I132:I151,"잡")</f>
        <v>0</v>
      </c>
      <c r="W144" s="770" t="s">
        <v>26</v>
      </c>
      <c r="X144" s="770">
        <f>SUMIF(D132:D151,"잡",F132:F151)</f>
        <v>0</v>
      </c>
      <c r="Y144" s="771">
        <f>SUMIF(I132:I151,"잡",K132:K151)</f>
        <v>0</v>
      </c>
      <c r="Z144" s="770">
        <f>COUNTIF(AJ132:AJ151,"잡국")+COUNTIF(AJ132:AJ151,"잡공")</f>
        <v>0</v>
      </c>
      <c r="AA144" s="771">
        <f>COUNTIF(AK132:AK151,"잡국")+COUNTIF(AK132:AK151,"잡공")</f>
        <v>0</v>
      </c>
      <c r="AB144" s="770" t="s">
        <v>26</v>
      </c>
      <c r="AC144" s="770">
        <f>SUMIF(AJ132:AJ151,"잡국",F132:F151)+SUMIF(AJ132:AJ151,"잡공",F132:F151)</f>
        <v>0</v>
      </c>
      <c r="AD144" s="771">
        <f>SUMIF(AK132:AK151,"잡국",K132:K151)+SUMIF(AK132:AK151,"잡공",K132:K151)</f>
        <v>0</v>
      </c>
      <c r="AE144" s="770">
        <f t="shared" si="38"/>
        <v>0</v>
      </c>
      <c r="AF144" s="771">
        <f t="shared" si="39"/>
        <v>0</v>
      </c>
      <c r="AG144" s="770" t="s">
        <v>26</v>
      </c>
      <c r="AH144" s="770">
        <f t="shared" si="40"/>
        <v>0</v>
      </c>
      <c r="AI144" s="771">
        <f t="shared" si="41"/>
        <v>0</v>
      </c>
      <c r="AJ144" s="770" t="str">
        <f t="shared" si="42"/>
        <v/>
      </c>
      <c r="AK144" s="770" t="str">
        <f t="shared" si="43"/>
        <v/>
      </c>
      <c r="AL144" s="772"/>
      <c r="AM144" s="772"/>
    </row>
    <row r="145" spans="1:39" s="773" customFormat="1" ht="24" hidden="1" customHeight="1" x14ac:dyDescent="0.15">
      <c r="A145" s="884">
        <v>134</v>
      </c>
      <c r="B145" s="654"/>
      <c r="C145" s="897"/>
      <c r="D145" s="654"/>
      <c r="E145" s="868"/>
      <c r="F145" s="869"/>
      <c r="G145" s="891"/>
      <c r="H145" s="846"/>
      <c r="I145" s="840"/>
      <c r="J145" s="847"/>
      <c r="K145" s="843"/>
      <c r="L145" s="654"/>
      <c r="M145" s="655"/>
      <c r="N145" s="895"/>
      <c r="O145" s="895"/>
      <c r="P145" s="886"/>
      <c r="Q145" s="886"/>
      <c r="R145" s="886"/>
      <c r="S145" s="887"/>
      <c r="T145" s="770" t="s">
        <v>51</v>
      </c>
      <c r="U145" s="770">
        <f>COUNTIF(D132:D151,"체")</f>
        <v>0</v>
      </c>
      <c r="V145" s="771">
        <f>COUNTIF(I132:I151,"체")</f>
        <v>0</v>
      </c>
      <c r="W145" s="770" t="s">
        <v>26</v>
      </c>
      <c r="X145" s="770">
        <f>SUMIF(D132:D151,"체",F132:F151)</f>
        <v>0</v>
      </c>
      <c r="Y145" s="771">
        <f>SUMIF(I132:I151,"체",K132:K151)</f>
        <v>0</v>
      </c>
      <c r="Z145" s="770">
        <f>COUNTIF(AJ132:AJ151,"체국")+COUNTIF(AJ132:AJ151,"체공")</f>
        <v>0</v>
      </c>
      <c r="AA145" s="771">
        <f>COUNTIF(AK132:AK151,"체국")+COUNTIF(AK132:AK151,"체공")</f>
        <v>0</v>
      </c>
      <c r="AB145" s="770" t="s">
        <v>26</v>
      </c>
      <c r="AC145" s="770">
        <f>SUMIF(AJ132:AJ151,"체국",F132:F151)+SUMIF(AJ132:AJ151,"체공",F132:F151)</f>
        <v>0</v>
      </c>
      <c r="AD145" s="771">
        <f>SUMIF(AK132:AK151,"체국",K132:K151)+SUMIF(AK132:AK151,"체공",K132:K151)</f>
        <v>0</v>
      </c>
      <c r="AE145" s="770">
        <f t="shared" si="38"/>
        <v>0</v>
      </c>
      <c r="AF145" s="771">
        <f t="shared" si="39"/>
        <v>0</v>
      </c>
      <c r="AG145" s="770" t="s">
        <v>26</v>
      </c>
      <c r="AH145" s="770">
        <f t="shared" si="40"/>
        <v>0</v>
      </c>
      <c r="AI145" s="771">
        <f t="shared" si="41"/>
        <v>0</v>
      </c>
      <c r="AJ145" s="770" t="str">
        <f t="shared" si="42"/>
        <v/>
      </c>
      <c r="AK145" s="770" t="str">
        <f t="shared" si="43"/>
        <v/>
      </c>
      <c r="AL145" s="772"/>
      <c r="AM145" s="772"/>
    </row>
    <row r="146" spans="1:39" s="773" customFormat="1" ht="24" hidden="1" customHeight="1" x14ac:dyDescent="0.15">
      <c r="A146" s="884">
        <v>135</v>
      </c>
      <c r="B146" s="654"/>
      <c r="C146" s="654"/>
      <c r="D146" s="654"/>
      <c r="E146" s="868"/>
      <c r="F146" s="868"/>
      <c r="G146" s="891"/>
      <c r="H146" s="846"/>
      <c r="I146" s="840"/>
      <c r="J146" s="847"/>
      <c r="K146" s="843"/>
      <c r="L146" s="654"/>
      <c r="M146" s="655"/>
      <c r="N146" s="896"/>
      <c r="O146" s="895"/>
      <c r="P146" s="886"/>
      <c r="Q146" s="886"/>
      <c r="R146" s="886"/>
      <c r="S146" s="887"/>
      <c r="T146" s="770" t="s">
        <v>50</v>
      </c>
      <c r="U146" s="770">
        <f>COUNTIF(D132:D151,"공")</f>
        <v>0</v>
      </c>
      <c r="V146" s="771">
        <f>COUNTIF(I132:I151,"공")</f>
        <v>0</v>
      </c>
      <c r="W146" s="770" t="s">
        <v>26</v>
      </c>
      <c r="X146" s="770">
        <f>SUMIF(D132:D151,"공",F132:F151)</f>
        <v>0</v>
      </c>
      <c r="Y146" s="771">
        <f>SUMIF(I132:I151,"공",K132:K151)</f>
        <v>0</v>
      </c>
      <c r="Z146" s="770">
        <f>COUNTIF(AJ132:AJ151,"공국")+COUNTIF(AJ132:AJ151,"공공")</f>
        <v>0</v>
      </c>
      <c r="AA146" s="771">
        <f>COUNTIF(AK132:AK151,"공국")+COUNTIF(AK132:AK151,"공공")</f>
        <v>0</v>
      </c>
      <c r="AB146" s="770" t="s">
        <v>26</v>
      </c>
      <c r="AC146" s="770">
        <f>SUMIF(AJ132:AJ151,"공국",F132:F151)+SUMIF(AJ132:AJ151,"공공",F132:F151)</f>
        <v>0</v>
      </c>
      <c r="AD146" s="771">
        <f>SUMIF(AK132:AK151,"공국",K132:K151)+SUMIF(AK132:AK151,"공공",K132:K151)</f>
        <v>0</v>
      </c>
      <c r="AE146" s="770">
        <f t="shared" si="38"/>
        <v>0</v>
      </c>
      <c r="AF146" s="771">
        <f t="shared" si="39"/>
        <v>0</v>
      </c>
      <c r="AG146" s="770" t="s">
        <v>26</v>
      </c>
      <c r="AH146" s="770">
        <f t="shared" si="40"/>
        <v>0</v>
      </c>
      <c r="AI146" s="771">
        <f t="shared" si="41"/>
        <v>0</v>
      </c>
      <c r="AJ146" s="770" t="str">
        <f t="shared" si="42"/>
        <v/>
      </c>
      <c r="AK146" s="770" t="str">
        <f t="shared" si="43"/>
        <v/>
      </c>
      <c r="AL146" s="772"/>
      <c r="AM146" s="772"/>
    </row>
    <row r="147" spans="1:39" s="773" customFormat="1" ht="24" hidden="1" customHeight="1" x14ac:dyDescent="0.15">
      <c r="A147" s="884">
        <v>136</v>
      </c>
      <c r="B147" s="654"/>
      <c r="C147" s="654"/>
      <c r="D147" s="654"/>
      <c r="E147" s="868"/>
      <c r="F147" s="868"/>
      <c r="G147" s="898"/>
      <c r="H147" s="842"/>
      <c r="I147" s="842"/>
      <c r="J147" s="872"/>
      <c r="K147" s="843"/>
      <c r="L147" s="899"/>
      <c r="M147" s="899"/>
      <c r="N147" s="900"/>
      <c r="O147" s="900"/>
      <c r="P147" s="886"/>
      <c r="Q147" s="886"/>
      <c r="R147" s="886"/>
      <c r="S147" s="887"/>
      <c r="T147" s="791" t="s">
        <v>40</v>
      </c>
      <c r="U147" s="770">
        <f>COUNTIF(D132:D151,"장")</f>
        <v>0</v>
      </c>
      <c r="V147" s="771">
        <f>COUNTIF(I132:I151,"장")</f>
        <v>0</v>
      </c>
      <c r="W147" s="770" t="s">
        <v>26</v>
      </c>
      <c r="X147" s="770">
        <f>SUMIF(D132:D151,"장",F132:F151)</f>
        <v>0</v>
      </c>
      <c r="Y147" s="771">
        <f>SUMIF(I132:I151,"장",K132:K151)</f>
        <v>0</v>
      </c>
      <c r="Z147" s="770">
        <f>COUNTIF(AJ132:AJ151,"장국")+COUNTIF(AJ132:AJ151,"장공")</f>
        <v>0</v>
      </c>
      <c r="AA147" s="771">
        <f>COUNTIF(AK132:AK151,"장국")+COUNTIF(AK132:AK151,"장공")</f>
        <v>0</v>
      </c>
      <c r="AB147" s="770" t="s">
        <v>26</v>
      </c>
      <c r="AC147" s="770">
        <f>SUMIF(AJ132:AJ151,"장국",F132:F151)+SUMIF(AJ132:AJ151,"장공",F132:F151)</f>
        <v>0</v>
      </c>
      <c r="AD147" s="771">
        <f>SUMIF(AK132:AK151,"장국",K132:K151)+SUMIF(AK132:AK151,"장공",K132:K151)</f>
        <v>0</v>
      </c>
      <c r="AE147" s="770">
        <f t="shared" si="38"/>
        <v>0</v>
      </c>
      <c r="AF147" s="771">
        <f t="shared" si="39"/>
        <v>0</v>
      </c>
      <c r="AG147" s="770" t="s">
        <v>26</v>
      </c>
      <c r="AH147" s="770">
        <f t="shared" si="40"/>
        <v>0</v>
      </c>
      <c r="AI147" s="771">
        <f t="shared" si="41"/>
        <v>0</v>
      </c>
      <c r="AJ147" s="770" t="str">
        <f t="shared" si="42"/>
        <v/>
      </c>
      <c r="AK147" s="770" t="str">
        <f t="shared" si="43"/>
        <v/>
      </c>
      <c r="AL147" s="772"/>
      <c r="AM147" s="772"/>
    </row>
    <row r="148" spans="1:39" s="773" customFormat="1" ht="24" hidden="1" customHeight="1" x14ac:dyDescent="0.15">
      <c r="A148" s="884">
        <v>137</v>
      </c>
      <c r="B148" s="654"/>
      <c r="C148" s="654"/>
      <c r="D148" s="654"/>
      <c r="E148" s="868"/>
      <c r="F148" s="868"/>
      <c r="G148" s="891"/>
      <c r="H148" s="842"/>
      <c r="I148" s="842"/>
      <c r="J148" s="779"/>
      <c r="K148" s="779"/>
      <c r="L148" s="655"/>
      <c r="M148" s="655"/>
      <c r="N148" s="895"/>
      <c r="O148" s="895"/>
      <c r="P148" s="886"/>
      <c r="Q148" s="886"/>
      <c r="R148" s="886"/>
      <c r="S148" s="887"/>
      <c r="T148" s="791" t="s">
        <v>79</v>
      </c>
      <c r="U148" s="770">
        <f>COUNTIF(D132:D151,"목")</f>
        <v>0</v>
      </c>
      <c r="V148" s="771">
        <f>COUNTIF(I132:I151,"목")</f>
        <v>0</v>
      </c>
      <c r="W148" s="770" t="s">
        <v>26</v>
      </c>
      <c r="X148" s="770">
        <f>SUMIF(D132:D151,"목",F132:F151)</f>
        <v>0</v>
      </c>
      <c r="Y148" s="771">
        <f>SUMIF(I132:I151,"목",K132:K151)</f>
        <v>0</v>
      </c>
      <c r="Z148" s="770">
        <f>COUNTIF(AJ132:AJ151,"목국")+COUNTIF(AJ132:AJ151,"목공")</f>
        <v>0</v>
      </c>
      <c r="AA148" s="771">
        <f>COUNTIF(AK132:AK151,"목국")+COUNTIF(AK132:AK151,"목공")</f>
        <v>0</v>
      </c>
      <c r="AB148" s="770" t="s">
        <v>26</v>
      </c>
      <c r="AC148" s="770">
        <f>SUMIF(AJ132:AJ151,"목국",F132:F151)+SUMIF(AJ132:AJ151,"목공",F132:F151)</f>
        <v>0</v>
      </c>
      <c r="AD148" s="771">
        <f>SUMIF(AK132:AK151,"목국",K132:K151)+SUMIF(AK132:AK151,"목공",K132:K151)</f>
        <v>0</v>
      </c>
      <c r="AE148" s="770">
        <f t="shared" si="38"/>
        <v>0</v>
      </c>
      <c r="AF148" s="771">
        <f t="shared" si="39"/>
        <v>0</v>
      </c>
      <c r="AG148" s="770" t="s">
        <v>26</v>
      </c>
      <c r="AH148" s="770">
        <f t="shared" si="40"/>
        <v>0</v>
      </c>
      <c r="AI148" s="771">
        <f t="shared" si="41"/>
        <v>0</v>
      </c>
      <c r="AJ148" s="770" t="str">
        <f t="shared" si="42"/>
        <v/>
      </c>
      <c r="AK148" s="770" t="str">
        <f t="shared" si="43"/>
        <v/>
      </c>
      <c r="AL148" s="772"/>
      <c r="AM148" s="772"/>
    </row>
    <row r="149" spans="1:39" s="773" customFormat="1" ht="24" hidden="1" customHeight="1" x14ac:dyDescent="0.15">
      <c r="A149" s="884">
        <v>138</v>
      </c>
      <c r="B149" s="654"/>
      <c r="C149" s="654"/>
      <c r="D149" s="654"/>
      <c r="E149" s="868"/>
      <c r="F149" s="868"/>
      <c r="G149" s="891"/>
      <c r="H149" s="846"/>
      <c r="I149" s="840"/>
      <c r="J149" s="847"/>
      <c r="K149" s="779"/>
      <c r="L149" s="655"/>
      <c r="M149" s="655"/>
      <c r="N149" s="895"/>
      <c r="O149" s="895"/>
      <c r="P149" s="901"/>
      <c r="Q149" s="890"/>
      <c r="R149" s="901"/>
      <c r="S149" s="887"/>
      <c r="T149" s="791"/>
      <c r="U149" s="791"/>
      <c r="V149" s="792"/>
      <c r="W149" s="791"/>
      <c r="X149" s="791"/>
      <c r="Y149" s="792"/>
      <c r="Z149" s="770"/>
      <c r="AA149" s="771"/>
      <c r="AB149" s="791"/>
      <c r="AC149" s="770"/>
      <c r="AD149" s="771"/>
      <c r="AE149" s="791"/>
      <c r="AF149" s="792"/>
      <c r="AG149" s="791"/>
      <c r="AH149" s="791"/>
      <c r="AI149" s="792"/>
      <c r="AJ149" s="770" t="str">
        <f t="shared" si="42"/>
        <v/>
      </c>
      <c r="AK149" s="770" t="str">
        <f t="shared" si="43"/>
        <v/>
      </c>
      <c r="AL149" s="772"/>
      <c r="AM149" s="772"/>
    </row>
    <row r="150" spans="1:39" s="773" customFormat="1" ht="24" hidden="1" customHeight="1" x14ac:dyDescent="0.15">
      <c r="A150" s="884">
        <v>139</v>
      </c>
      <c r="B150" s="654"/>
      <c r="C150" s="654"/>
      <c r="D150" s="776"/>
      <c r="E150" s="868"/>
      <c r="F150" s="869"/>
      <c r="G150" s="891"/>
      <c r="H150" s="840"/>
      <c r="I150" s="842"/>
      <c r="J150" s="872"/>
      <c r="K150" s="843"/>
      <c r="L150" s="654"/>
      <c r="M150" s="655"/>
      <c r="N150" s="896"/>
      <c r="O150" s="895"/>
      <c r="P150" s="886"/>
      <c r="Q150" s="886"/>
      <c r="R150" s="886"/>
      <c r="S150" s="887"/>
      <c r="T150" s="791"/>
      <c r="U150" s="791"/>
      <c r="V150" s="792"/>
      <c r="W150" s="791"/>
      <c r="X150" s="791"/>
      <c r="Y150" s="792"/>
      <c r="Z150" s="770"/>
      <c r="AA150" s="771"/>
      <c r="AB150" s="791"/>
      <c r="AC150" s="770"/>
      <c r="AD150" s="771"/>
      <c r="AE150" s="791"/>
      <c r="AF150" s="792"/>
      <c r="AG150" s="791"/>
      <c r="AH150" s="791"/>
      <c r="AI150" s="792"/>
      <c r="AJ150" s="770" t="str">
        <f t="shared" si="42"/>
        <v/>
      </c>
      <c r="AK150" s="770" t="str">
        <f t="shared" si="43"/>
        <v/>
      </c>
      <c r="AL150" s="772"/>
      <c r="AM150" s="772"/>
    </row>
    <row r="151" spans="1:39" s="773" customFormat="1" ht="24" hidden="1" customHeight="1" x14ac:dyDescent="0.15">
      <c r="A151" s="884">
        <v>140</v>
      </c>
      <c r="B151" s="654"/>
      <c r="C151" s="874"/>
      <c r="D151" s="776"/>
      <c r="E151" s="868"/>
      <c r="F151" s="869"/>
      <c r="G151" s="891"/>
      <c r="H151" s="846"/>
      <c r="I151" s="840"/>
      <c r="J151" s="847"/>
      <c r="K151" s="779"/>
      <c r="L151" s="654"/>
      <c r="M151" s="655"/>
      <c r="N151" s="896"/>
      <c r="O151" s="895"/>
      <c r="P151" s="886"/>
      <c r="Q151" s="886"/>
      <c r="R151" s="886"/>
      <c r="S151" s="887"/>
      <c r="T151" s="794" t="s">
        <v>37</v>
      </c>
      <c r="U151" s="794">
        <f>COUNTIF(D132:D151,"철")</f>
        <v>0</v>
      </c>
      <c r="V151" s="795">
        <f>COUNTIF(I132:I151,"철")</f>
        <v>0</v>
      </c>
      <c r="W151" s="794" t="s">
        <v>26</v>
      </c>
      <c r="X151" s="794">
        <f>SUMIF(D132:D151,"철",F132:F151)</f>
        <v>0</v>
      </c>
      <c r="Y151" s="795">
        <f>SUMIF(I132:I151,"철",K132:K151)</f>
        <v>0</v>
      </c>
      <c r="Z151" s="770">
        <f>COUNTIF(AJ132:AJ151,"철국")+COUNTIF(AJ132:AJ151,"철공")</f>
        <v>0</v>
      </c>
      <c r="AA151" s="771">
        <f>COUNTIF(AK132:AK151,"철국")+COUNTIF(AK132:AK151,"철공")</f>
        <v>0</v>
      </c>
      <c r="AB151" s="794" t="s">
        <v>26</v>
      </c>
      <c r="AC151" s="770">
        <f>SUMIF(AJ132:AJ151,"철국",F132:F151)+SUMIF(AJ132:AJ151,"철공",F132:F151)</f>
        <v>0</v>
      </c>
      <c r="AD151" s="771">
        <f>SUMIF(AK132:AK151,"철국",K132:K151)+SUMIF(AK132:AK151,"철공",K132:K151)</f>
        <v>0</v>
      </c>
      <c r="AE151" s="794"/>
      <c r="AF151" s="795"/>
      <c r="AG151" s="794"/>
      <c r="AH151" s="794"/>
      <c r="AI151" s="795"/>
      <c r="AJ151" s="770" t="str">
        <f t="shared" si="42"/>
        <v/>
      </c>
      <c r="AK151" s="770" t="str">
        <f t="shared" si="43"/>
        <v/>
      </c>
      <c r="AL151" s="772"/>
      <c r="AM151" s="772"/>
    </row>
    <row r="152" spans="1:39" s="755" customFormat="1" ht="24" hidden="1" customHeight="1" thickBot="1" x14ac:dyDescent="0.2">
      <c r="A152" s="796" t="s">
        <v>48</v>
      </c>
      <c r="B152" s="797"/>
      <c r="C152" s="797"/>
      <c r="D152" s="797"/>
      <c r="E152" s="797"/>
      <c r="F152" s="798">
        <f>SUM(F132:F151)</f>
        <v>0</v>
      </c>
      <c r="G152" s="799"/>
      <c r="H152" s="799"/>
      <c r="I152" s="827"/>
      <c r="J152" s="828"/>
      <c r="K152" s="829">
        <f>SUM(K132:K151)</f>
        <v>0</v>
      </c>
      <c r="L152" s="803"/>
      <c r="M152" s="803"/>
      <c r="N152" s="804"/>
      <c r="O152" s="804"/>
      <c r="P152" s="803"/>
      <c r="Q152" s="803"/>
      <c r="R152" s="803"/>
      <c r="S152" s="805"/>
      <c r="T152" s="806" t="s">
        <v>24</v>
      </c>
      <c r="U152" s="807">
        <f t="shared" ref="U152:AA152" si="44">SUM(U132:U151)</f>
        <v>0</v>
      </c>
      <c r="V152" s="807">
        <f t="shared" si="44"/>
        <v>0</v>
      </c>
      <c r="W152" s="807">
        <f t="shared" si="44"/>
        <v>0</v>
      </c>
      <c r="X152" s="807">
        <f t="shared" si="44"/>
        <v>0</v>
      </c>
      <c r="Y152" s="807">
        <f t="shared" si="44"/>
        <v>0</v>
      </c>
      <c r="Z152" s="822">
        <f t="shared" si="44"/>
        <v>0</v>
      </c>
      <c r="AA152" s="823">
        <f t="shared" si="44"/>
        <v>0</v>
      </c>
      <c r="AB152" s="822" t="s">
        <v>26</v>
      </c>
      <c r="AC152" s="822">
        <f>SUM(AC132:AC151)</f>
        <v>0</v>
      </c>
      <c r="AD152" s="823">
        <f>SUM(AD132:AD151)</f>
        <v>0</v>
      </c>
      <c r="AE152" s="807">
        <f>SUM(AE132:AE151)</f>
        <v>0</v>
      </c>
      <c r="AF152" s="807">
        <f>SUM(AF132:AF151)</f>
        <v>0</v>
      </c>
      <c r="AG152" s="807" t="s">
        <v>26</v>
      </c>
      <c r="AH152" s="807">
        <f>SUM(AH132:AH151)</f>
        <v>0</v>
      </c>
      <c r="AI152" s="807">
        <f>SUM(AI132:AI151)</f>
        <v>0</v>
      </c>
      <c r="AJ152" s="807"/>
      <c r="AK152" s="770" t="str">
        <f t="shared" si="43"/>
        <v/>
      </c>
    </row>
    <row r="153" spans="1:39" s="773" customFormat="1" ht="24" hidden="1" customHeight="1" x14ac:dyDescent="0.15">
      <c r="A153" s="877">
        <v>141</v>
      </c>
      <c r="B153" s="878"/>
      <c r="C153" s="879"/>
      <c r="D153" s="879"/>
      <c r="E153" s="880"/>
      <c r="F153" s="881"/>
      <c r="G153" s="902"/>
      <c r="H153" s="854"/>
      <c r="I153" s="840"/>
      <c r="J153" s="847"/>
      <c r="K153" s="779"/>
      <c r="L153" s="654"/>
      <c r="M153" s="655"/>
      <c r="N153" s="896"/>
      <c r="O153" s="895"/>
      <c r="P153" s="882"/>
      <c r="Q153" s="882"/>
      <c r="R153" s="882"/>
      <c r="S153" s="883"/>
      <c r="T153" s="770" t="s">
        <v>27</v>
      </c>
      <c r="U153" s="770">
        <f>COUNTIF(D153:D172,"전")</f>
        <v>0</v>
      </c>
      <c r="V153" s="771">
        <f>COUNTIF(I153:I172,"전")</f>
        <v>0</v>
      </c>
      <c r="W153" s="770" t="s">
        <v>26</v>
      </c>
      <c r="X153" s="770">
        <f>SUMIF(D153:D172,"전",F153:F172)</f>
        <v>0</v>
      </c>
      <c r="Y153" s="771">
        <f>SUMIF(I153:I172,"전",K153:K172)</f>
        <v>0</v>
      </c>
      <c r="Z153" s="770">
        <f>COUNTIF(AJ153:AJ172,"전국")+COUNTIF(AJ153:AJ172,"전공")</f>
        <v>0</v>
      </c>
      <c r="AA153" s="771">
        <f>COUNTIF(AK153:AK172,"전국")+COUNTIF(AK153:AK172,"전공")</f>
        <v>0</v>
      </c>
      <c r="AB153" s="770" t="s">
        <v>26</v>
      </c>
      <c r="AC153" s="770">
        <f>SUMIF(AJ153:AJ172,"전국",F153:F172)+SUMIF(AJ153:AJ172,"전공",F153:F172)</f>
        <v>0</v>
      </c>
      <c r="AD153" s="771">
        <f>SUMIF(AK153:AK172,"전국",K153:K172)+SUMIF(AK153:AK172,"전공",K153:K172)</f>
        <v>0</v>
      </c>
      <c r="AE153" s="770">
        <f t="shared" ref="AE153:AE169" si="45">U153-Z153</f>
        <v>0</v>
      </c>
      <c r="AF153" s="771">
        <f t="shared" ref="AF153:AF169" si="46">V153-AA153</f>
        <v>0</v>
      </c>
      <c r="AG153" s="770" t="s">
        <v>26</v>
      </c>
      <c r="AH153" s="770">
        <f t="shared" ref="AH153:AH169" si="47">X153-AC153</f>
        <v>0</v>
      </c>
      <c r="AI153" s="771">
        <f t="shared" ref="AI153:AI169" si="48">Y153-AD153</f>
        <v>0</v>
      </c>
      <c r="AJ153" s="770" t="str">
        <f t="shared" ref="AJ153:AJ172" si="49">CONCATENATE(D153,L153)</f>
        <v/>
      </c>
      <c r="AK153" s="770" t="str">
        <f t="shared" si="43"/>
        <v/>
      </c>
    </row>
    <row r="154" spans="1:39" s="773" customFormat="1" ht="24" hidden="1" customHeight="1" x14ac:dyDescent="0.15">
      <c r="A154" s="884">
        <v>142</v>
      </c>
      <c r="B154" s="654"/>
      <c r="C154" s="654"/>
      <c r="D154" s="654"/>
      <c r="E154" s="868"/>
      <c r="F154" s="868"/>
      <c r="G154" s="891"/>
      <c r="H154" s="842"/>
      <c r="I154" s="842"/>
      <c r="J154" s="847"/>
      <c r="K154" s="885"/>
      <c r="L154" s="654"/>
      <c r="M154" s="655"/>
      <c r="N154" s="896"/>
      <c r="O154" s="895"/>
      <c r="P154" s="886"/>
      <c r="Q154" s="886"/>
      <c r="R154" s="886"/>
      <c r="S154" s="887"/>
      <c r="T154" s="770" t="s">
        <v>28</v>
      </c>
      <c r="U154" s="770">
        <f>COUNTIF(D153:D172,"답")</f>
        <v>0</v>
      </c>
      <c r="V154" s="771">
        <f>COUNTIF(I153:I172,"답")</f>
        <v>0</v>
      </c>
      <c r="W154" s="770" t="s">
        <v>26</v>
      </c>
      <c r="X154" s="770">
        <f>SUMIF(D153:D172,"답",F153:F172)</f>
        <v>0</v>
      </c>
      <c r="Y154" s="771">
        <f>SUMIF(I153:I172,"답",K153:K172)</f>
        <v>0</v>
      </c>
      <c r="Z154" s="770">
        <f>COUNTIF(AJ153:AJ172,"답국")+COUNTIF(AJ153:AJ172,"답공")</f>
        <v>0</v>
      </c>
      <c r="AA154" s="771">
        <f>COUNTIF(AK153:AK172,"답국")+COUNTIF(AK153:AK172,"답공")</f>
        <v>0</v>
      </c>
      <c r="AB154" s="770" t="s">
        <v>26</v>
      </c>
      <c r="AC154" s="770">
        <f>SUMIF(AJ153:AJ172,"답국",F153:F172)+SUMIF(AJ153:AJ172,"답공",F153:F172)</f>
        <v>0</v>
      </c>
      <c r="AD154" s="771">
        <f>SUMIF(AK153:AK172,"답국",K153:K172)+SUMIF(AK153:AK172,"답공",K153:K172)</f>
        <v>0</v>
      </c>
      <c r="AE154" s="770">
        <f t="shared" si="45"/>
        <v>0</v>
      </c>
      <c r="AF154" s="771">
        <f t="shared" si="46"/>
        <v>0</v>
      </c>
      <c r="AG154" s="770" t="s">
        <v>26</v>
      </c>
      <c r="AH154" s="770">
        <f t="shared" si="47"/>
        <v>0</v>
      </c>
      <c r="AI154" s="771">
        <f t="shared" si="48"/>
        <v>0</v>
      </c>
      <c r="AJ154" s="770" t="str">
        <f t="shared" si="49"/>
        <v/>
      </c>
      <c r="AK154" s="770" t="str">
        <f t="shared" si="43"/>
        <v/>
      </c>
    </row>
    <row r="155" spans="1:39" s="773" customFormat="1" ht="24" hidden="1" customHeight="1" x14ac:dyDescent="0.15">
      <c r="A155" s="884">
        <v>143</v>
      </c>
      <c r="B155" s="654"/>
      <c r="C155" s="654"/>
      <c r="D155" s="654"/>
      <c r="E155" s="868"/>
      <c r="F155" s="869"/>
      <c r="G155" s="891"/>
      <c r="H155" s="888"/>
      <c r="I155" s="842"/>
      <c r="J155" s="847"/>
      <c r="K155" s="885"/>
      <c r="L155" s="654"/>
      <c r="M155" s="655"/>
      <c r="N155" s="896"/>
      <c r="O155" s="895"/>
      <c r="P155" s="886"/>
      <c r="Q155" s="886"/>
      <c r="R155" s="886"/>
      <c r="S155" s="887"/>
      <c r="T155" s="770" t="s">
        <v>44</v>
      </c>
      <c r="U155" s="770">
        <f>COUNTIF(D153:D172,"임")</f>
        <v>0</v>
      </c>
      <c r="V155" s="771">
        <f>COUNTIF(I153:I172,"임")</f>
        <v>0</v>
      </c>
      <c r="W155" s="770" t="s">
        <v>26</v>
      </c>
      <c r="X155" s="770">
        <f>SUMIF(D153:D172,"임",F153:F172)</f>
        <v>0</v>
      </c>
      <c r="Y155" s="771">
        <f>SUMIF(I153:I172,"임",K153:K172)</f>
        <v>0</v>
      </c>
      <c r="Z155" s="770">
        <f>COUNTIF(AJ153:AJ172,"임국")+COUNTIF(AJ153:AJ172,"임공")</f>
        <v>0</v>
      </c>
      <c r="AA155" s="771">
        <f>COUNTIF(AK153:AK172,"임국")+COUNTIF(AK153:AK172,"임공")</f>
        <v>0</v>
      </c>
      <c r="AB155" s="770" t="s">
        <v>26</v>
      </c>
      <c r="AC155" s="770">
        <f>SUMIF(AJ153:AJ172,"임국",F153:F172)+SUMIF(AJ153:AJ172,"임공",F153:F172)</f>
        <v>0</v>
      </c>
      <c r="AD155" s="771">
        <f>SUMIF(AK153:AK172,"임국",K153:K172)+SUMIF(AK153:AK172,"임공",K153:K172)</f>
        <v>0</v>
      </c>
      <c r="AE155" s="770">
        <f t="shared" si="45"/>
        <v>0</v>
      </c>
      <c r="AF155" s="771">
        <f t="shared" si="46"/>
        <v>0</v>
      </c>
      <c r="AG155" s="770" t="s">
        <v>26</v>
      </c>
      <c r="AH155" s="770">
        <f t="shared" si="47"/>
        <v>0</v>
      </c>
      <c r="AI155" s="771">
        <f t="shared" si="48"/>
        <v>0</v>
      </c>
      <c r="AJ155" s="770" t="str">
        <f t="shared" si="49"/>
        <v/>
      </c>
      <c r="AK155" s="770" t="str">
        <f t="shared" si="43"/>
        <v/>
      </c>
      <c r="AL155" s="772"/>
      <c r="AM155" s="772"/>
    </row>
    <row r="156" spans="1:39" s="773" customFormat="1" ht="24" hidden="1" customHeight="1" x14ac:dyDescent="0.15">
      <c r="A156" s="884">
        <v>144</v>
      </c>
      <c r="B156" s="654"/>
      <c r="C156" s="654"/>
      <c r="D156" s="654"/>
      <c r="E156" s="868"/>
      <c r="F156" s="869"/>
      <c r="G156" s="891"/>
      <c r="H156" s="842"/>
      <c r="I156" s="842"/>
      <c r="J156" s="847"/>
      <c r="K156" s="885"/>
      <c r="L156" s="654"/>
      <c r="M156" s="655"/>
      <c r="N156" s="896"/>
      <c r="O156" s="895"/>
      <c r="P156" s="886"/>
      <c r="Q156" s="886"/>
      <c r="R156" s="886"/>
      <c r="S156" s="887"/>
      <c r="T156" s="770" t="s">
        <v>45</v>
      </c>
      <c r="U156" s="770">
        <f>COUNTIF(D153:D172,"대")</f>
        <v>0</v>
      </c>
      <c r="V156" s="771">
        <f>COUNTIF(I153:I172,"대")</f>
        <v>0</v>
      </c>
      <c r="W156" s="770" t="s">
        <v>26</v>
      </c>
      <c r="X156" s="770">
        <f>SUMIF(D153:D172,"대",F153:F172)</f>
        <v>0</v>
      </c>
      <c r="Y156" s="771">
        <f>SUMIF(I153:I172,"대",K153:K172)</f>
        <v>0</v>
      </c>
      <c r="Z156" s="770">
        <f>COUNTIF(AJ153:AJ172,"대국")+COUNTIF(AJ153:AJ172,"대공")</f>
        <v>0</v>
      </c>
      <c r="AA156" s="771">
        <f>COUNTIF(AK153:AK172,"대국")+COUNTIF(AK153:AK172,"대공")</f>
        <v>0</v>
      </c>
      <c r="AB156" s="770" t="s">
        <v>26</v>
      </c>
      <c r="AC156" s="770">
        <f>SUMIF(AJ153:AJ172,"대국",F153:F172)+SUMIF(AJ153:AJ172,"대공",F153:F172)</f>
        <v>0</v>
      </c>
      <c r="AD156" s="771">
        <f>SUMIF(AK153:AK172,"대국",K153:K172)+SUMIF(AK153:AK172,"대공",K153:K172)</f>
        <v>0</v>
      </c>
      <c r="AE156" s="770">
        <f t="shared" si="45"/>
        <v>0</v>
      </c>
      <c r="AF156" s="771">
        <f t="shared" si="46"/>
        <v>0</v>
      </c>
      <c r="AG156" s="770" t="s">
        <v>26</v>
      </c>
      <c r="AH156" s="770">
        <f t="shared" si="47"/>
        <v>0</v>
      </c>
      <c r="AI156" s="771">
        <f t="shared" si="48"/>
        <v>0</v>
      </c>
      <c r="AJ156" s="770" t="str">
        <f t="shared" si="49"/>
        <v/>
      </c>
      <c r="AK156" s="770" t="str">
        <f t="shared" si="43"/>
        <v/>
      </c>
      <c r="AL156" s="772"/>
      <c r="AM156" s="772"/>
    </row>
    <row r="157" spans="1:39" s="773" customFormat="1" ht="24" hidden="1" customHeight="1" x14ac:dyDescent="0.15">
      <c r="A157" s="884">
        <v>145</v>
      </c>
      <c r="B157" s="654"/>
      <c r="C157" s="654"/>
      <c r="D157" s="776"/>
      <c r="E157" s="868"/>
      <c r="F157" s="869"/>
      <c r="G157" s="891"/>
      <c r="H157" s="842"/>
      <c r="I157" s="842"/>
      <c r="J157" s="847"/>
      <c r="K157" s="885"/>
      <c r="L157" s="654"/>
      <c r="M157" s="655"/>
      <c r="N157" s="896"/>
      <c r="O157" s="895"/>
      <c r="P157" s="886"/>
      <c r="Q157" s="886"/>
      <c r="R157" s="886"/>
      <c r="S157" s="887"/>
      <c r="T157" s="770" t="s">
        <v>31</v>
      </c>
      <c r="U157" s="770">
        <f>COUNTIF(D153:D172,"도")</f>
        <v>0</v>
      </c>
      <c r="V157" s="771">
        <f>COUNTIF(I153:I172,"도")</f>
        <v>0</v>
      </c>
      <c r="W157" s="770" t="s">
        <v>26</v>
      </c>
      <c r="X157" s="770">
        <f>SUMIF(D153:D172,"도",F153:F172)</f>
        <v>0</v>
      </c>
      <c r="Y157" s="771">
        <f>SUMIF(I153:I172,"도",K153:K172)</f>
        <v>0</v>
      </c>
      <c r="Z157" s="770">
        <f>COUNTIF(AJ153:AJ172,"도국")+COUNTIF(AJ153:AJ172,"도공")</f>
        <v>0</v>
      </c>
      <c r="AA157" s="771">
        <f>COUNTIF(AK153:AK172,"도국")+COUNTIF(AK153:AK172,"도공")</f>
        <v>0</v>
      </c>
      <c r="AB157" s="770" t="s">
        <v>26</v>
      </c>
      <c r="AC157" s="770">
        <f>SUMIF(AJ153:AJ172,"도국",F153:F172)+SUMIF(AJ153:AJ172,"도공",F153:F172)</f>
        <v>0</v>
      </c>
      <c r="AD157" s="771">
        <f>SUMIF(AK153:AK172,"도국",K153:K172)+SUMIF(AK153:AK172,"도공",K153:K172)</f>
        <v>0</v>
      </c>
      <c r="AE157" s="770">
        <f t="shared" si="45"/>
        <v>0</v>
      </c>
      <c r="AF157" s="771">
        <f t="shared" si="46"/>
        <v>0</v>
      </c>
      <c r="AG157" s="770" t="s">
        <v>26</v>
      </c>
      <c r="AH157" s="770">
        <f t="shared" si="47"/>
        <v>0</v>
      </c>
      <c r="AI157" s="771">
        <f t="shared" si="48"/>
        <v>0</v>
      </c>
      <c r="AJ157" s="770" t="str">
        <f t="shared" si="49"/>
        <v/>
      </c>
      <c r="AK157" s="770" t="str">
        <f t="shared" si="43"/>
        <v/>
      </c>
      <c r="AL157" s="772"/>
      <c r="AM157" s="772"/>
    </row>
    <row r="158" spans="1:39" s="773" customFormat="1" ht="24" hidden="1" customHeight="1" x14ac:dyDescent="0.15">
      <c r="A158" s="884">
        <v>146</v>
      </c>
      <c r="B158" s="654"/>
      <c r="C158" s="654"/>
      <c r="D158" s="776"/>
      <c r="E158" s="868"/>
      <c r="F158" s="868"/>
      <c r="G158" s="891"/>
      <c r="H158" s="842"/>
      <c r="I158" s="842"/>
      <c r="J158" s="847"/>
      <c r="K158" s="885"/>
      <c r="L158" s="654"/>
      <c r="M158" s="655"/>
      <c r="N158" s="896"/>
      <c r="O158" s="895"/>
      <c r="P158" s="886"/>
      <c r="Q158" s="886"/>
      <c r="R158" s="886"/>
      <c r="S158" s="887"/>
      <c r="T158" s="770" t="s">
        <v>32</v>
      </c>
      <c r="U158" s="786">
        <f>COUNTIF(D153:D172,"천")</f>
        <v>0</v>
      </c>
      <c r="V158" s="787">
        <f>COUNTIF(I153:I172,"천")</f>
        <v>0</v>
      </c>
      <c r="W158" s="770" t="s">
        <v>26</v>
      </c>
      <c r="X158" s="770">
        <f>SUMIF(D153:D172,"천",F153:F172)</f>
        <v>0</v>
      </c>
      <c r="Y158" s="771">
        <f>SUMIF(I153:I172,"천",K153:K172)</f>
        <v>0</v>
      </c>
      <c r="Z158" s="770">
        <f>COUNTIF(AJ153:AJ172,"천국")+COUNTIF(AJ153:AJ172,"천공")</f>
        <v>0</v>
      </c>
      <c r="AA158" s="771">
        <f>COUNTIF(AK153:AK172,"천국")+COUNTIF(AK153:AK172,"천공")</f>
        <v>0</v>
      </c>
      <c r="AB158" s="770" t="s">
        <v>26</v>
      </c>
      <c r="AC158" s="770">
        <f>SUMIF(AJ153:AJ172,"천국",F153:F172)+SUMIF(AJ153:AJ172,"천공",F153:F172)</f>
        <v>0</v>
      </c>
      <c r="AD158" s="771">
        <f>SUMIF(AK153:AK172,"천국",K153:K172)+SUMIF(AK153:AK172,"천공",K153:K172)</f>
        <v>0</v>
      </c>
      <c r="AE158" s="770">
        <f t="shared" si="45"/>
        <v>0</v>
      </c>
      <c r="AF158" s="771">
        <f t="shared" si="46"/>
        <v>0</v>
      </c>
      <c r="AG158" s="770" t="s">
        <v>26</v>
      </c>
      <c r="AH158" s="770">
        <f t="shared" si="47"/>
        <v>0</v>
      </c>
      <c r="AI158" s="771">
        <f t="shared" si="48"/>
        <v>0</v>
      </c>
      <c r="AJ158" s="770" t="str">
        <f t="shared" si="49"/>
        <v/>
      </c>
      <c r="AK158" s="770" t="str">
        <f t="shared" si="43"/>
        <v/>
      </c>
      <c r="AL158" s="772"/>
      <c r="AM158" s="772"/>
    </row>
    <row r="159" spans="1:39" s="773" customFormat="1" ht="24" hidden="1" customHeight="1" x14ac:dyDescent="0.15">
      <c r="A159" s="884">
        <v>147</v>
      </c>
      <c r="B159" s="654"/>
      <c r="C159" s="903"/>
      <c r="D159" s="654"/>
      <c r="E159" s="868"/>
      <c r="F159" s="869"/>
      <c r="G159" s="891"/>
      <c r="H159" s="842"/>
      <c r="I159" s="842"/>
      <c r="J159" s="847"/>
      <c r="K159" s="885"/>
      <c r="L159" s="654"/>
      <c r="M159" s="655"/>
      <c r="N159" s="896"/>
      <c r="O159" s="895"/>
      <c r="P159" s="886"/>
      <c r="Q159" s="886"/>
      <c r="R159" s="886"/>
      <c r="S159" s="887"/>
      <c r="T159" s="770" t="s">
        <v>33</v>
      </c>
      <c r="U159" s="770">
        <f>COUNTIF(D153:D172,"구")</f>
        <v>0</v>
      </c>
      <c r="V159" s="771">
        <f>COUNTIF(I153:I172,"구")</f>
        <v>0</v>
      </c>
      <c r="W159" s="770" t="s">
        <v>26</v>
      </c>
      <c r="X159" s="770">
        <f>SUMIF(D153:D172,"구",F153:F172)</f>
        <v>0</v>
      </c>
      <c r="Y159" s="771">
        <f>SUMIF(I153:I172,"구",K153:K172)</f>
        <v>0</v>
      </c>
      <c r="Z159" s="770">
        <f>COUNTIF(AJ153:AJ172,"구국")+COUNTIF(AJ153:AJ172,"구공")</f>
        <v>0</v>
      </c>
      <c r="AA159" s="771">
        <f>COUNTIF(AK153:AK172,"구국")+COUNTIF(AK153:AK172,"구공")</f>
        <v>0</v>
      </c>
      <c r="AB159" s="770" t="s">
        <v>26</v>
      </c>
      <c r="AC159" s="770">
        <f>SUMIF(AJ153:AJ172,"구국",F153:F172)+SUMIF(AJ153:AJ172,"구공",F153:F172)</f>
        <v>0</v>
      </c>
      <c r="AD159" s="771">
        <f>SUMIF(AK153:AK172,"구국",K153:K172)+SUMIF(AK153:AK172,"구공",K153:K172)</f>
        <v>0</v>
      </c>
      <c r="AE159" s="770">
        <f t="shared" si="45"/>
        <v>0</v>
      </c>
      <c r="AF159" s="771">
        <f t="shared" si="46"/>
        <v>0</v>
      </c>
      <c r="AG159" s="770" t="s">
        <v>26</v>
      </c>
      <c r="AH159" s="770">
        <f t="shared" si="47"/>
        <v>0</v>
      </c>
      <c r="AI159" s="771">
        <f t="shared" si="48"/>
        <v>0</v>
      </c>
      <c r="AJ159" s="770" t="str">
        <f t="shared" si="49"/>
        <v/>
      </c>
      <c r="AK159" s="770" t="str">
        <f t="shared" si="43"/>
        <v/>
      </c>
      <c r="AL159" s="772"/>
      <c r="AM159" s="772"/>
    </row>
    <row r="160" spans="1:39" s="773" customFormat="1" ht="24" hidden="1" customHeight="1" x14ac:dyDescent="0.15">
      <c r="A160" s="884">
        <v>148</v>
      </c>
      <c r="B160" s="654"/>
      <c r="C160" s="654"/>
      <c r="D160" s="654"/>
      <c r="E160" s="868"/>
      <c r="F160" s="869"/>
      <c r="G160" s="891"/>
      <c r="H160" s="842"/>
      <c r="I160" s="842"/>
      <c r="J160" s="847"/>
      <c r="K160" s="885"/>
      <c r="L160" s="654"/>
      <c r="M160" s="904"/>
      <c r="N160" s="896"/>
      <c r="O160" s="895"/>
      <c r="P160" s="886"/>
      <c r="Q160" s="886"/>
      <c r="R160" s="886"/>
      <c r="S160" s="887"/>
      <c r="T160" s="770" t="s">
        <v>34</v>
      </c>
      <c r="U160" s="770">
        <f>COUNTIF(D153:D172,"제")</f>
        <v>0</v>
      </c>
      <c r="V160" s="771">
        <f>COUNTIF(I153:I172,"제")</f>
        <v>0</v>
      </c>
      <c r="W160" s="770" t="s">
        <v>26</v>
      </c>
      <c r="X160" s="770">
        <f>SUMIF(D153:D172,"제",F153:F172)</f>
        <v>0</v>
      </c>
      <c r="Y160" s="771">
        <f>SUMIF(I153:I172,"제",K153:K172)</f>
        <v>0</v>
      </c>
      <c r="Z160" s="770">
        <f>COUNTIF(AJ153:AJ172,"제국")+COUNTIF(AJ153:AJ172,"제공")</f>
        <v>0</v>
      </c>
      <c r="AA160" s="771">
        <f>COUNTIF(AK153:AK172,"제국")+COUNTIF(AK153:AK172,"제공")</f>
        <v>0</v>
      </c>
      <c r="AB160" s="770" t="s">
        <v>26</v>
      </c>
      <c r="AC160" s="770">
        <f>SUMIF(AJ153:AJ172,"제국",F153:F172)+SUMIF(AJ153:AJ172,"제공",F153:F172)</f>
        <v>0</v>
      </c>
      <c r="AD160" s="771">
        <f>SUMIF(AK153:AK172,"제국",K153:K172)+SUMIF(AK153:AK172,"제공",K153:K172)</f>
        <v>0</v>
      </c>
      <c r="AE160" s="770">
        <f t="shared" si="45"/>
        <v>0</v>
      </c>
      <c r="AF160" s="771">
        <f t="shared" si="46"/>
        <v>0</v>
      </c>
      <c r="AG160" s="770" t="s">
        <v>26</v>
      </c>
      <c r="AH160" s="770">
        <f t="shared" si="47"/>
        <v>0</v>
      </c>
      <c r="AI160" s="771">
        <f t="shared" si="48"/>
        <v>0</v>
      </c>
      <c r="AJ160" s="770" t="str">
        <f t="shared" si="49"/>
        <v/>
      </c>
      <c r="AK160" s="770" t="str">
        <f t="shared" si="43"/>
        <v/>
      </c>
      <c r="AL160" s="772"/>
      <c r="AM160" s="772"/>
    </row>
    <row r="161" spans="1:39" s="773" customFormat="1" ht="24" hidden="1" customHeight="1" x14ac:dyDescent="0.15">
      <c r="A161" s="884">
        <v>149</v>
      </c>
      <c r="B161" s="654"/>
      <c r="C161" s="654"/>
      <c r="D161" s="654"/>
      <c r="E161" s="868"/>
      <c r="F161" s="869"/>
      <c r="G161" s="891"/>
      <c r="H161" s="905"/>
      <c r="I161" s="906"/>
      <c r="J161" s="907"/>
      <c r="K161" s="907"/>
      <c r="L161" s="908"/>
      <c r="M161" s="892"/>
      <c r="N161" s="909"/>
      <c r="O161" s="893"/>
      <c r="P161" s="894"/>
      <c r="Q161" s="894"/>
      <c r="R161" s="894"/>
      <c r="S161" s="887"/>
      <c r="T161" s="770" t="s">
        <v>46</v>
      </c>
      <c r="U161" s="770">
        <f>COUNTIF(D153:D172,"유")</f>
        <v>0</v>
      </c>
      <c r="V161" s="771">
        <f>COUNTIF(I153:I172,"유")</f>
        <v>0</v>
      </c>
      <c r="W161" s="770" t="s">
        <v>26</v>
      </c>
      <c r="X161" s="770">
        <f>SUMIF(D153:D172,"유",F153:F172)</f>
        <v>0</v>
      </c>
      <c r="Y161" s="771">
        <f>SUMIF(I153:I172,"유",K153:K172)</f>
        <v>0</v>
      </c>
      <c r="Z161" s="770">
        <f>COUNTIF(AJ153:AJ172,"유국")+COUNTIF(AJ153:AJ172,"유공")</f>
        <v>0</v>
      </c>
      <c r="AA161" s="771">
        <f>COUNTIF(AK153:AK172,"유국")+COUNTIF(AK153:AK172,"유공")</f>
        <v>0</v>
      </c>
      <c r="AB161" s="770" t="s">
        <v>26</v>
      </c>
      <c r="AC161" s="770">
        <f>SUMIF(AJ153:AJ172,"유국",F153:F172)+SUMIF(AJ153:AJ172,"유공",F153:F172)</f>
        <v>0</v>
      </c>
      <c r="AD161" s="771">
        <f>SUMIF(AK153:AK172,"유국",K153:K172)+SUMIF(AK153:AK172,"유공",K153:K172)</f>
        <v>0</v>
      </c>
      <c r="AE161" s="770">
        <f t="shared" si="45"/>
        <v>0</v>
      </c>
      <c r="AF161" s="771">
        <f t="shared" si="46"/>
        <v>0</v>
      </c>
      <c r="AG161" s="770" t="s">
        <v>26</v>
      </c>
      <c r="AH161" s="770">
        <f t="shared" si="47"/>
        <v>0</v>
      </c>
      <c r="AI161" s="771">
        <f t="shared" si="48"/>
        <v>0</v>
      </c>
      <c r="AJ161" s="770" t="str">
        <f t="shared" si="49"/>
        <v/>
      </c>
      <c r="AK161" s="770" t="str">
        <f t="shared" si="43"/>
        <v/>
      </c>
      <c r="AL161" s="772"/>
      <c r="AM161" s="772"/>
    </row>
    <row r="162" spans="1:39" s="773" customFormat="1" ht="24" hidden="1" customHeight="1" x14ac:dyDescent="0.15">
      <c r="A162" s="884">
        <v>150</v>
      </c>
      <c r="B162" s="654"/>
      <c r="C162" s="654"/>
      <c r="D162" s="654"/>
      <c r="E162" s="868"/>
      <c r="F162" s="868"/>
      <c r="G162" s="910"/>
      <c r="H162" s="851"/>
      <c r="I162" s="851"/>
      <c r="J162" s="911"/>
      <c r="K162" s="911"/>
      <c r="L162" s="899"/>
      <c r="M162" s="899"/>
      <c r="N162" s="900"/>
      <c r="O162" s="900"/>
      <c r="P162" s="886"/>
      <c r="Q162" s="886"/>
      <c r="R162" s="886"/>
      <c r="S162" s="887"/>
      <c r="T162" s="770" t="s">
        <v>47</v>
      </c>
      <c r="U162" s="770">
        <f>COUNTIF(D153:D172,"과")</f>
        <v>0</v>
      </c>
      <c r="V162" s="771">
        <f>COUNTIF(I153:I172,"과")</f>
        <v>0</v>
      </c>
      <c r="W162" s="770" t="s">
        <v>26</v>
      </c>
      <c r="X162" s="770">
        <f>SUMIF(D153:D172,"과",F153:F172)</f>
        <v>0</v>
      </c>
      <c r="Y162" s="771">
        <f>SUMIF(I153:I172,"과",K153:K172)</f>
        <v>0</v>
      </c>
      <c r="Z162" s="770">
        <f>COUNTIF(AJ153:AJ172,"과국")+COUNTIF(AJ153:AJ172,"과공")</f>
        <v>0</v>
      </c>
      <c r="AA162" s="771">
        <f>COUNTIF(AK153:AK172,"과국")+COUNTIF(AK153:AK172,"과공")</f>
        <v>0</v>
      </c>
      <c r="AB162" s="770" t="s">
        <v>26</v>
      </c>
      <c r="AC162" s="770">
        <f>SUMIF(AJ153:AJ172,"과국",F153:F172)+SUMIF(AJ153:AJ172,"과공",F153:F172)</f>
        <v>0</v>
      </c>
      <c r="AD162" s="771">
        <f>SUMIF(AK153:AK172,"과국",K153:K172)+SUMIF(AK153:AK172,"과공",K153:K172)</f>
        <v>0</v>
      </c>
      <c r="AE162" s="770">
        <f t="shared" si="45"/>
        <v>0</v>
      </c>
      <c r="AF162" s="771">
        <f t="shared" si="46"/>
        <v>0</v>
      </c>
      <c r="AG162" s="770" t="s">
        <v>26</v>
      </c>
      <c r="AH162" s="770">
        <f t="shared" si="47"/>
        <v>0</v>
      </c>
      <c r="AI162" s="771">
        <f t="shared" si="48"/>
        <v>0</v>
      </c>
      <c r="AJ162" s="770" t="str">
        <f t="shared" si="49"/>
        <v/>
      </c>
      <c r="AK162" s="770" t="str">
        <f t="shared" si="43"/>
        <v/>
      </c>
      <c r="AL162" s="772"/>
      <c r="AM162" s="772"/>
    </row>
    <row r="163" spans="1:39" s="773" customFormat="1" ht="24" hidden="1" customHeight="1" x14ac:dyDescent="0.15">
      <c r="A163" s="884">
        <v>151</v>
      </c>
      <c r="B163" s="654"/>
      <c r="C163" s="874"/>
      <c r="D163" s="654"/>
      <c r="E163" s="868"/>
      <c r="F163" s="869"/>
      <c r="G163" s="910"/>
      <c r="H163" s="851"/>
      <c r="I163" s="851"/>
      <c r="J163" s="911"/>
      <c r="K163" s="911"/>
      <c r="L163" s="899"/>
      <c r="M163" s="899"/>
      <c r="N163" s="912"/>
      <c r="O163" s="900"/>
      <c r="P163" s="886"/>
      <c r="Q163" s="886"/>
      <c r="R163" s="886"/>
      <c r="S163" s="887"/>
      <c r="T163" s="770" t="s">
        <v>36</v>
      </c>
      <c r="U163" s="770">
        <f>COUNTIF(D153:D172,"묘")</f>
        <v>0</v>
      </c>
      <c r="V163" s="771">
        <f>COUNTIF(I153:I172,"묘")</f>
        <v>0</v>
      </c>
      <c r="W163" s="770" t="s">
        <v>26</v>
      </c>
      <c r="X163" s="770">
        <f>SUMIF(D153:D172,"묘",F153:F172)</f>
        <v>0</v>
      </c>
      <c r="Y163" s="771">
        <f>SUMIF(I153:I172,"묘",K153:K172)</f>
        <v>0</v>
      </c>
      <c r="Z163" s="770">
        <f>COUNTIF(AJ153:AJ172,"묘국")+COUNTIF(AJ153:AJ172,"묘공")</f>
        <v>0</v>
      </c>
      <c r="AA163" s="771">
        <f>COUNTIF(AK153:AK172,"묘국")+COUNTIF(AK153:AK172,"묘공")</f>
        <v>0</v>
      </c>
      <c r="AB163" s="770" t="s">
        <v>26</v>
      </c>
      <c r="AC163" s="770">
        <f>SUMIF(AJ153:AJ172,"묘국",F153:F172)+SUMIF(AJ153:AJ172,"묘공",F153:F172)</f>
        <v>0</v>
      </c>
      <c r="AD163" s="771">
        <f>SUMIF(AK153:AK172,"묘국",K153:K172)+SUMIF(AK153:AK172,"묘공",K153:K172)</f>
        <v>0</v>
      </c>
      <c r="AE163" s="770">
        <f t="shared" si="45"/>
        <v>0</v>
      </c>
      <c r="AF163" s="771">
        <f t="shared" si="46"/>
        <v>0</v>
      </c>
      <c r="AG163" s="770" t="s">
        <v>26</v>
      </c>
      <c r="AH163" s="770">
        <f t="shared" si="47"/>
        <v>0</v>
      </c>
      <c r="AI163" s="771">
        <f t="shared" si="48"/>
        <v>0</v>
      </c>
      <c r="AJ163" s="770" t="str">
        <f t="shared" si="49"/>
        <v/>
      </c>
      <c r="AK163" s="770" t="str">
        <f t="shared" si="43"/>
        <v/>
      </c>
      <c r="AL163" s="772"/>
      <c r="AM163" s="772"/>
    </row>
    <row r="164" spans="1:39" s="773" customFormat="1" ht="24" hidden="1" customHeight="1" x14ac:dyDescent="0.15">
      <c r="A164" s="884">
        <v>152</v>
      </c>
      <c r="B164" s="654"/>
      <c r="C164" s="654"/>
      <c r="D164" s="654"/>
      <c r="E164" s="868"/>
      <c r="F164" s="868"/>
      <c r="G164" s="891"/>
      <c r="H164" s="913"/>
      <c r="I164" s="905"/>
      <c r="J164" s="914"/>
      <c r="K164" s="914"/>
      <c r="L164" s="655"/>
      <c r="M164" s="655"/>
      <c r="N164" s="896"/>
      <c r="O164" s="895"/>
      <c r="P164" s="886"/>
      <c r="Q164" s="886"/>
      <c r="R164" s="886"/>
      <c r="S164" s="887"/>
      <c r="T164" s="770" t="s">
        <v>39</v>
      </c>
      <c r="U164" s="770">
        <f>COUNTIF(D153:D172,"수")</f>
        <v>0</v>
      </c>
      <c r="V164" s="771">
        <f>COUNTIF(I153:I172,"수")</f>
        <v>0</v>
      </c>
      <c r="W164" s="770" t="s">
        <v>26</v>
      </c>
      <c r="X164" s="770">
        <f>SUMIF(D153:D172,"수",F153:F172)</f>
        <v>0</v>
      </c>
      <c r="Y164" s="771">
        <f>SUMIF(I153:I172,"수",K153:K172)</f>
        <v>0</v>
      </c>
      <c r="Z164" s="770">
        <f>COUNTIF(AJ153:AJ172,"수국")+COUNTIF(AJ153:AJ172,"수공")</f>
        <v>0</v>
      </c>
      <c r="AA164" s="771">
        <f>COUNTIF(AK153:AK172,"수국")+COUNTIF(AK153:AK172,"수공")</f>
        <v>0</v>
      </c>
      <c r="AB164" s="770" t="s">
        <v>26</v>
      </c>
      <c r="AC164" s="770">
        <f>SUMIF(AJ153:AJ172,"수국",F153:F172)+SUMIF(AJ153:AJ172,"수공",F153:F172)</f>
        <v>0</v>
      </c>
      <c r="AD164" s="771">
        <f>SUMIF(AK153:AK172,"수국",K153:K172)+SUMIF(AK153:AK172,"수공",K153:K172)</f>
        <v>0</v>
      </c>
      <c r="AE164" s="770">
        <f t="shared" si="45"/>
        <v>0</v>
      </c>
      <c r="AF164" s="771">
        <f t="shared" si="46"/>
        <v>0</v>
      </c>
      <c r="AG164" s="770" t="s">
        <v>26</v>
      </c>
      <c r="AH164" s="770">
        <f t="shared" si="47"/>
        <v>0</v>
      </c>
      <c r="AI164" s="771">
        <f t="shared" si="48"/>
        <v>0</v>
      </c>
      <c r="AJ164" s="770" t="str">
        <f t="shared" si="49"/>
        <v/>
      </c>
      <c r="AK164" s="770" t="str">
        <f t="shared" si="43"/>
        <v/>
      </c>
      <c r="AL164" s="772"/>
      <c r="AM164" s="772"/>
    </row>
    <row r="165" spans="1:39" s="773" customFormat="1" ht="24" hidden="1" customHeight="1" x14ac:dyDescent="0.15">
      <c r="A165" s="884">
        <v>153</v>
      </c>
      <c r="B165" s="654"/>
      <c r="C165" s="897"/>
      <c r="D165" s="654"/>
      <c r="E165" s="868"/>
      <c r="F165" s="869"/>
      <c r="G165" s="891"/>
      <c r="H165" s="905"/>
      <c r="I165" s="905"/>
      <c r="J165" s="914"/>
      <c r="K165" s="914"/>
      <c r="L165" s="655"/>
      <c r="M165" s="655"/>
      <c r="N165" s="895"/>
      <c r="O165" s="896"/>
      <c r="P165" s="886"/>
      <c r="Q165" s="886"/>
      <c r="R165" s="886"/>
      <c r="S165" s="887"/>
      <c r="T165" s="770" t="s">
        <v>35</v>
      </c>
      <c r="U165" s="770">
        <f>COUNTIF(D153:D172,"잡")</f>
        <v>0</v>
      </c>
      <c r="V165" s="771">
        <f>COUNTIF(I153:I172,"잡")</f>
        <v>0</v>
      </c>
      <c r="W165" s="770" t="s">
        <v>26</v>
      </c>
      <c r="X165" s="770">
        <f>SUMIF(D153:D172,"잡",F153:F172)</f>
        <v>0</v>
      </c>
      <c r="Y165" s="771">
        <f>SUMIF(I153:I172,"잡",K153:K172)</f>
        <v>0</v>
      </c>
      <c r="Z165" s="770">
        <f>COUNTIF(AJ153:AJ172,"잡국")+COUNTIF(AJ153:AJ172,"잡공")</f>
        <v>0</v>
      </c>
      <c r="AA165" s="771">
        <f>COUNTIF(AK153:AK172,"잡국")+COUNTIF(AK153:AK172,"잡공")</f>
        <v>0</v>
      </c>
      <c r="AB165" s="770" t="s">
        <v>26</v>
      </c>
      <c r="AC165" s="770">
        <f>SUMIF(AJ153:AJ172,"잡국",F153:F172)+SUMIF(AJ153:AJ172,"잡공",F153:F172)</f>
        <v>0</v>
      </c>
      <c r="AD165" s="771">
        <f>SUMIF(AK153:AK172,"잡국",K153:K172)+SUMIF(AK153:AK172,"잡공",K153:K172)</f>
        <v>0</v>
      </c>
      <c r="AE165" s="770">
        <f t="shared" si="45"/>
        <v>0</v>
      </c>
      <c r="AF165" s="771">
        <f t="shared" si="46"/>
        <v>0</v>
      </c>
      <c r="AG165" s="770" t="s">
        <v>26</v>
      </c>
      <c r="AH165" s="770">
        <f t="shared" si="47"/>
        <v>0</v>
      </c>
      <c r="AI165" s="771">
        <f t="shared" si="48"/>
        <v>0</v>
      </c>
      <c r="AJ165" s="770" t="str">
        <f t="shared" si="49"/>
        <v/>
      </c>
      <c r="AK165" s="770" t="str">
        <f t="shared" si="43"/>
        <v/>
      </c>
      <c r="AL165" s="772"/>
      <c r="AM165" s="772"/>
    </row>
    <row r="166" spans="1:39" s="773" customFormat="1" ht="24" hidden="1" customHeight="1" x14ac:dyDescent="0.15">
      <c r="A166" s="884">
        <v>154</v>
      </c>
      <c r="B166" s="654"/>
      <c r="C166" s="874"/>
      <c r="D166" s="654"/>
      <c r="E166" s="868"/>
      <c r="F166" s="869"/>
      <c r="G166" s="891"/>
      <c r="H166" s="905"/>
      <c r="I166" s="905"/>
      <c r="J166" s="914"/>
      <c r="K166" s="914"/>
      <c r="L166" s="655"/>
      <c r="M166" s="655"/>
      <c r="N166" s="895"/>
      <c r="O166" s="895"/>
      <c r="P166" s="886"/>
      <c r="Q166" s="886"/>
      <c r="R166" s="886"/>
      <c r="S166" s="887"/>
      <c r="T166" s="770" t="s">
        <v>51</v>
      </c>
      <c r="U166" s="770">
        <f>COUNTIF(D153:D172,"체")</f>
        <v>0</v>
      </c>
      <c r="V166" s="771">
        <f>COUNTIF(I153:I172,"체")</f>
        <v>0</v>
      </c>
      <c r="W166" s="770" t="s">
        <v>26</v>
      </c>
      <c r="X166" s="770">
        <f>SUMIF(D153:D172,"체",F153:F172)</f>
        <v>0</v>
      </c>
      <c r="Y166" s="771">
        <f>SUMIF(I153:I172,"체",K153:K172)</f>
        <v>0</v>
      </c>
      <c r="Z166" s="770">
        <f>COUNTIF(AJ153:AJ172,"체국")+COUNTIF(AJ153:AJ172,"체공")</f>
        <v>0</v>
      </c>
      <c r="AA166" s="771">
        <f>COUNTIF(AK153:AK172,"체국")+COUNTIF(AK153:AK172,"체공")</f>
        <v>0</v>
      </c>
      <c r="AB166" s="770" t="s">
        <v>26</v>
      </c>
      <c r="AC166" s="770">
        <f>SUMIF(AJ153:AJ172,"체국",F153:F172)+SUMIF(AJ153:AJ172,"체공",F153:F172)</f>
        <v>0</v>
      </c>
      <c r="AD166" s="771">
        <f>SUMIF(AK153:AK172,"체국",K153:K172)+SUMIF(AK153:AK172,"체공",K153:K172)</f>
        <v>0</v>
      </c>
      <c r="AE166" s="770">
        <f t="shared" si="45"/>
        <v>0</v>
      </c>
      <c r="AF166" s="771">
        <f t="shared" si="46"/>
        <v>0</v>
      </c>
      <c r="AG166" s="770" t="s">
        <v>26</v>
      </c>
      <c r="AH166" s="770">
        <f t="shared" si="47"/>
        <v>0</v>
      </c>
      <c r="AI166" s="771">
        <f t="shared" si="48"/>
        <v>0</v>
      </c>
      <c r="AJ166" s="770" t="str">
        <f t="shared" si="49"/>
        <v/>
      </c>
      <c r="AK166" s="770" t="str">
        <f t="shared" si="43"/>
        <v/>
      </c>
      <c r="AL166" s="772"/>
      <c r="AM166" s="772"/>
    </row>
    <row r="167" spans="1:39" s="773" customFormat="1" ht="24" hidden="1" customHeight="1" x14ac:dyDescent="0.15">
      <c r="A167" s="884">
        <v>155</v>
      </c>
      <c r="B167" s="654"/>
      <c r="C167" s="874"/>
      <c r="D167" s="654"/>
      <c r="E167" s="868"/>
      <c r="F167" s="868"/>
      <c r="G167" s="891"/>
      <c r="H167" s="905"/>
      <c r="I167" s="905"/>
      <c r="J167" s="914"/>
      <c r="K167" s="914"/>
      <c r="L167" s="655"/>
      <c r="M167" s="655"/>
      <c r="N167" s="895"/>
      <c r="O167" s="895"/>
      <c r="P167" s="886"/>
      <c r="Q167" s="886"/>
      <c r="R167" s="886"/>
      <c r="S167" s="887"/>
      <c r="T167" s="770" t="s">
        <v>50</v>
      </c>
      <c r="U167" s="770">
        <f>COUNTIF(D153:D172,"공")</f>
        <v>0</v>
      </c>
      <c r="V167" s="771">
        <f>COUNTIF(I153:I172,"공")</f>
        <v>0</v>
      </c>
      <c r="W167" s="770" t="s">
        <v>26</v>
      </c>
      <c r="X167" s="770">
        <f>SUMIF(D153:D172,"공",F153:F172)</f>
        <v>0</v>
      </c>
      <c r="Y167" s="771">
        <f>SUMIF(I153:I172,"공",K153:K172)</f>
        <v>0</v>
      </c>
      <c r="Z167" s="770">
        <f>COUNTIF(AJ153:AJ172,"공국")+COUNTIF(AJ153:AJ172,"공공")</f>
        <v>0</v>
      </c>
      <c r="AA167" s="771">
        <f>COUNTIF(AK153:AK172,"공국")+COUNTIF(AK153:AK172,"공공")</f>
        <v>0</v>
      </c>
      <c r="AB167" s="770" t="s">
        <v>26</v>
      </c>
      <c r="AC167" s="770">
        <f>SUMIF(AJ153:AJ172,"공국",F153:F172)+SUMIF(AJ153:AJ172,"공공",F153:F172)</f>
        <v>0</v>
      </c>
      <c r="AD167" s="771">
        <f>SUMIF(AK153:AK172,"공국",K153:K172)+SUMIF(AK153:AK172,"공공",K153:K172)</f>
        <v>0</v>
      </c>
      <c r="AE167" s="770">
        <f t="shared" si="45"/>
        <v>0</v>
      </c>
      <c r="AF167" s="771">
        <f t="shared" si="46"/>
        <v>0</v>
      </c>
      <c r="AG167" s="770" t="s">
        <v>26</v>
      </c>
      <c r="AH167" s="770">
        <f t="shared" si="47"/>
        <v>0</v>
      </c>
      <c r="AI167" s="771">
        <f t="shared" si="48"/>
        <v>0</v>
      </c>
      <c r="AJ167" s="770" t="str">
        <f t="shared" si="49"/>
        <v/>
      </c>
      <c r="AK167" s="770" t="str">
        <f t="shared" si="43"/>
        <v/>
      </c>
      <c r="AL167" s="772"/>
      <c r="AM167" s="772"/>
    </row>
    <row r="168" spans="1:39" s="773" customFormat="1" ht="24" hidden="1" customHeight="1" x14ac:dyDescent="0.15">
      <c r="A168" s="884">
        <v>156</v>
      </c>
      <c r="B168" s="654"/>
      <c r="C168" s="654"/>
      <c r="D168" s="654"/>
      <c r="E168" s="868"/>
      <c r="F168" s="868"/>
      <c r="G168" s="891"/>
      <c r="H168" s="905"/>
      <c r="I168" s="905"/>
      <c r="J168" s="914"/>
      <c r="K168" s="914"/>
      <c r="L168" s="654"/>
      <c r="M168" s="654"/>
      <c r="N168" s="896"/>
      <c r="O168" s="895"/>
      <c r="P168" s="886"/>
      <c r="Q168" s="886"/>
      <c r="R168" s="886"/>
      <c r="S168" s="887"/>
      <c r="T168" s="791" t="s">
        <v>40</v>
      </c>
      <c r="U168" s="770">
        <f>COUNTIF(D153:D172,"장")</f>
        <v>0</v>
      </c>
      <c r="V168" s="771">
        <f>COUNTIF(I153:I172,"장")</f>
        <v>0</v>
      </c>
      <c r="W168" s="770" t="s">
        <v>26</v>
      </c>
      <c r="X168" s="770">
        <f>SUMIF(D153:D172,"장",F153:F172)</f>
        <v>0</v>
      </c>
      <c r="Y168" s="771">
        <f>SUMIF(I153:I172,"장",K153:K172)</f>
        <v>0</v>
      </c>
      <c r="Z168" s="770">
        <f>COUNTIF(AJ153:AJ172,"장국")+COUNTIF(AJ153:AJ172,"장공")</f>
        <v>0</v>
      </c>
      <c r="AA168" s="771">
        <f>COUNTIF(AK153:AK172,"장국")+COUNTIF(AK153:AK172,"장공")</f>
        <v>0</v>
      </c>
      <c r="AB168" s="770" t="s">
        <v>26</v>
      </c>
      <c r="AC168" s="770">
        <f>SUMIF(AJ153:AJ172,"장국",F153:F172)+SUMIF(AJ153:AJ172,"장공",F153:F172)</f>
        <v>0</v>
      </c>
      <c r="AD168" s="771">
        <f>SUMIF(AK153:AK172,"장국",K153:K172)+SUMIF(AK153:AK172,"장공",K153:K172)</f>
        <v>0</v>
      </c>
      <c r="AE168" s="770">
        <f t="shared" si="45"/>
        <v>0</v>
      </c>
      <c r="AF168" s="771">
        <f t="shared" si="46"/>
        <v>0</v>
      </c>
      <c r="AG168" s="770" t="s">
        <v>26</v>
      </c>
      <c r="AH168" s="770">
        <f t="shared" si="47"/>
        <v>0</v>
      </c>
      <c r="AI168" s="771">
        <f t="shared" si="48"/>
        <v>0</v>
      </c>
      <c r="AJ168" s="770" t="str">
        <f t="shared" si="49"/>
        <v/>
      </c>
      <c r="AK168" s="770" t="str">
        <f t="shared" si="43"/>
        <v/>
      </c>
      <c r="AL168" s="772"/>
      <c r="AM168" s="772"/>
    </row>
    <row r="169" spans="1:39" s="773" customFormat="1" ht="24" hidden="1" customHeight="1" x14ac:dyDescent="0.15">
      <c r="A169" s="884">
        <v>157</v>
      </c>
      <c r="B169" s="654"/>
      <c r="C169" s="654"/>
      <c r="D169" s="654"/>
      <c r="E169" s="868"/>
      <c r="F169" s="868"/>
      <c r="G169" s="891"/>
      <c r="H169" s="905"/>
      <c r="I169" s="905"/>
      <c r="J169" s="914"/>
      <c r="K169" s="914"/>
      <c r="L169" s="654"/>
      <c r="M169" s="654"/>
      <c r="N169" s="896"/>
      <c r="O169" s="896"/>
      <c r="P169" s="886"/>
      <c r="Q169" s="886"/>
      <c r="R169" s="886"/>
      <c r="S169" s="887"/>
      <c r="T169" s="791" t="s">
        <v>79</v>
      </c>
      <c r="U169" s="770">
        <f>COUNTIF(D153:D172,"목")</f>
        <v>0</v>
      </c>
      <c r="V169" s="771">
        <f>COUNTIF(I153:I172,"목")</f>
        <v>0</v>
      </c>
      <c r="W169" s="770" t="s">
        <v>26</v>
      </c>
      <c r="X169" s="770">
        <f>SUMIF(D153:D172,"목",F153:F172)</f>
        <v>0</v>
      </c>
      <c r="Y169" s="771">
        <f>SUMIF(I153:I172,"목",K153:K172)</f>
        <v>0</v>
      </c>
      <c r="Z169" s="770">
        <f>COUNTIF(AJ153:AJ172,"목국")+COUNTIF(AJ153:AJ172,"목공")</f>
        <v>0</v>
      </c>
      <c r="AA169" s="771">
        <f>COUNTIF(AK153:AK172,"목국")+COUNTIF(AK153:AK172,"목공")</f>
        <v>0</v>
      </c>
      <c r="AB169" s="770" t="s">
        <v>26</v>
      </c>
      <c r="AC169" s="770">
        <f>SUMIF(AJ153:AJ172,"목국",F153:F172)+SUMIF(AJ153:AJ172,"목공",F153:F172)</f>
        <v>0</v>
      </c>
      <c r="AD169" s="771">
        <f>SUMIF(AK153:AK172,"목국",K153:K172)+SUMIF(AK153:AK172,"목공",K153:K172)</f>
        <v>0</v>
      </c>
      <c r="AE169" s="770">
        <f t="shared" si="45"/>
        <v>0</v>
      </c>
      <c r="AF169" s="771">
        <f t="shared" si="46"/>
        <v>0</v>
      </c>
      <c r="AG169" s="770" t="s">
        <v>26</v>
      </c>
      <c r="AH169" s="770">
        <f t="shared" si="47"/>
        <v>0</v>
      </c>
      <c r="AI169" s="771">
        <f t="shared" si="48"/>
        <v>0</v>
      </c>
      <c r="AJ169" s="770" t="str">
        <f t="shared" si="49"/>
        <v/>
      </c>
      <c r="AK169" s="770" t="str">
        <f t="shared" si="43"/>
        <v/>
      </c>
      <c r="AL169" s="772"/>
      <c r="AM169" s="772"/>
    </row>
    <row r="170" spans="1:39" s="773" customFormat="1" ht="24" hidden="1" customHeight="1" x14ac:dyDescent="0.15">
      <c r="A170" s="884">
        <v>158</v>
      </c>
      <c r="B170" s="654"/>
      <c r="C170" s="654"/>
      <c r="D170" s="776"/>
      <c r="E170" s="868"/>
      <c r="F170" s="869"/>
      <c r="G170" s="891"/>
      <c r="H170" s="913"/>
      <c r="I170" s="905"/>
      <c r="J170" s="914"/>
      <c r="K170" s="914"/>
      <c r="L170" s="654"/>
      <c r="M170" s="654"/>
      <c r="N170" s="896"/>
      <c r="O170" s="896"/>
      <c r="P170" s="915"/>
      <c r="Q170" s="915"/>
      <c r="R170" s="915"/>
      <c r="S170" s="887"/>
      <c r="T170" s="791"/>
      <c r="U170" s="791"/>
      <c r="V170" s="792"/>
      <c r="W170" s="791"/>
      <c r="X170" s="791"/>
      <c r="Y170" s="792"/>
      <c r="Z170" s="770"/>
      <c r="AA170" s="771"/>
      <c r="AB170" s="791"/>
      <c r="AC170" s="770"/>
      <c r="AD170" s="771"/>
      <c r="AE170" s="791"/>
      <c r="AF170" s="792"/>
      <c r="AG170" s="791"/>
      <c r="AH170" s="791"/>
      <c r="AI170" s="792"/>
      <c r="AJ170" s="770" t="str">
        <f t="shared" si="49"/>
        <v/>
      </c>
      <c r="AK170" s="770" t="str">
        <f t="shared" si="43"/>
        <v/>
      </c>
      <c r="AL170" s="772"/>
      <c r="AM170" s="772"/>
    </row>
    <row r="171" spans="1:39" s="773" customFormat="1" ht="24" hidden="1" customHeight="1" x14ac:dyDescent="0.15">
      <c r="A171" s="884">
        <v>159</v>
      </c>
      <c r="B171" s="654"/>
      <c r="C171" s="654"/>
      <c r="D171" s="654"/>
      <c r="E171" s="868"/>
      <c r="F171" s="869"/>
      <c r="G171" s="891"/>
      <c r="H171" s="905"/>
      <c r="I171" s="905"/>
      <c r="J171" s="914"/>
      <c r="K171" s="914"/>
      <c r="L171" s="654"/>
      <c r="M171" s="904"/>
      <c r="N171" s="896"/>
      <c r="O171" s="916"/>
      <c r="P171" s="886"/>
      <c r="Q171" s="886"/>
      <c r="R171" s="886"/>
      <c r="S171" s="887"/>
      <c r="T171" s="791"/>
      <c r="U171" s="791"/>
      <c r="V171" s="792"/>
      <c r="W171" s="791"/>
      <c r="X171" s="791"/>
      <c r="Y171" s="792"/>
      <c r="Z171" s="770"/>
      <c r="AA171" s="771"/>
      <c r="AB171" s="791"/>
      <c r="AC171" s="770"/>
      <c r="AD171" s="771"/>
      <c r="AE171" s="791"/>
      <c r="AF171" s="792"/>
      <c r="AG171" s="791"/>
      <c r="AH171" s="791"/>
      <c r="AI171" s="792"/>
      <c r="AJ171" s="770" t="str">
        <f t="shared" si="49"/>
        <v/>
      </c>
      <c r="AK171" s="770" t="str">
        <f t="shared" si="43"/>
        <v/>
      </c>
      <c r="AL171" s="772"/>
      <c r="AM171" s="772"/>
    </row>
    <row r="172" spans="1:39" s="773" customFormat="1" ht="24" hidden="1" customHeight="1" x14ac:dyDescent="0.15">
      <c r="A172" s="884">
        <v>160</v>
      </c>
      <c r="B172" s="654"/>
      <c r="C172" s="654"/>
      <c r="D172" s="654"/>
      <c r="E172" s="868"/>
      <c r="F172" s="869"/>
      <c r="G172" s="891"/>
      <c r="H172" s="905"/>
      <c r="I172" s="905"/>
      <c r="J172" s="914"/>
      <c r="K172" s="914"/>
      <c r="L172" s="655"/>
      <c r="M172" s="654"/>
      <c r="N172" s="895"/>
      <c r="O172" s="896"/>
      <c r="P172" s="915"/>
      <c r="Q172" s="915"/>
      <c r="R172" s="915"/>
      <c r="S172" s="887"/>
      <c r="T172" s="794" t="s">
        <v>37</v>
      </c>
      <c r="U172" s="794">
        <f>COUNTIF(D153:D172,"철")</f>
        <v>0</v>
      </c>
      <c r="V172" s="795">
        <f>COUNTIF(I153:I172,"철")</f>
        <v>0</v>
      </c>
      <c r="W172" s="794" t="s">
        <v>26</v>
      </c>
      <c r="X172" s="794">
        <f>SUMIF(D153:D172,"철",F153:F172)</f>
        <v>0</v>
      </c>
      <c r="Y172" s="795">
        <f>SUMIF(I153:I172,"철",K153:K172)</f>
        <v>0</v>
      </c>
      <c r="Z172" s="770">
        <f>COUNTIF(AJ153:AJ172,"철국")+COUNTIF(AJ153:AJ172,"철공")</f>
        <v>0</v>
      </c>
      <c r="AA172" s="771">
        <f>COUNTIF(AK153:AK172,"철국")+COUNTIF(AK153:AK172,"철공")</f>
        <v>0</v>
      </c>
      <c r="AB172" s="794" t="s">
        <v>26</v>
      </c>
      <c r="AC172" s="770">
        <f>SUMIF(AJ153:AJ172,"철국",F153:F172)+SUMIF(AJ153:AJ172,"철공",F153:F172)</f>
        <v>0</v>
      </c>
      <c r="AD172" s="771">
        <f>SUMIF(AK153:AK172,"철국",K153:K172)+SUMIF(AK153:AK172,"철공",K153:K172)</f>
        <v>0</v>
      </c>
      <c r="AE172" s="794"/>
      <c r="AF172" s="795"/>
      <c r="AG172" s="794"/>
      <c r="AH172" s="794"/>
      <c r="AI172" s="795"/>
      <c r="AJ172" s="770" t="str">
        <f t="shared" si="49"/>
        <v/>
      </c>
      <c r="AK172" s="770" t="str">
        <f t="shared" si="43"/>
        <v/>
      </c>
      <c r="AL172" s="772"/>
      <c r="AM172" s="772"/>
    </row>
    <row r="173" spans="1:39" s="755" customFormat="1" ht="24" hidden="1" customHeight="1" thickBot="1" x14ac:dyDescent="0.2">
      <c r="A173" s="796" t="s">
        <v>48</v>
      </c>
      <c r="B173" s="797"/>
      <c r="C173" s="797"/>
      <c r="D173" s="797"/>
      <c r="E173" s="797"/>
      <c r="F173" s="798">
        <f>SUM(F153:F172)</f>
        <v>0</v>
      </c>
      <c r="G173" s="799"/>
      <c r="H173" s="799"/>
      <c r="I173" s="827"/>
      <c r="J173" s="828"/>
      <c r="K173" s="829">
        <f>SUM(K153:K172)</f>
        <v>0</v>
      </c>
      <c r="L173" s="803"/>
      <c r="M173" s="803"/>
      <c r="N173" s="804"/>
      <c r="O173" s="804"/>
      <c r="P173" s="803"/>
      <c r="Q173" s="803"/>
      <c r="R173" s="803"/>
      <c r="S173" s="805"/>
      <c r="T173" s="806" t="s">
        <v>24</v>
      </c>
      <c r="U173" s="807">
        <f t="shared" ref="U173:AA173" si="50">SUM(U153:U172)</f>
        <v>0</v>
      </c>
      <c r="V173" s="807">
        <f t="shared" si="50"/>
        <v>0</v>
      </c>
      <c r="W173" s="807">
        <f t="shared" si="50"/>
        <v>0</v>
      </c>
      <c r="X173" s="807">
        <f t="shared" si="50"/>
        <v>0</v>
      </c>
      <c r="Y173" s="807">
        <f t="shared" si="50"/>
        <v>0</v>
      </c>
      <c r="Z173" s="822">
        <f t="shared" si="50"/>
        <v>0</v>
      </c>
      <c r="AA173" s="823">
        <f t="shared" si="50"/>
        <v>0</v>
      </c>
      <c r="AB173" s="822" t="s">
        <v>26</v>
      </c>
      <c r="AC173" s="822">
        <f>SUM(AC153:AC172)</f>
        <v>0</v>
      </c>
      <c r="AD173" s="823">
        <f>SUM(AD153:AD172)</f>
        <v>0</v>
      </c>
      <c r="AE173" s="807">
        <f>SUM(AE153:AE172)</f>
        <v>0</v>
      </c>
      <c r="AF173" s="807">
        <f>SUM(AF153:AF172)</f>
        <v>0</v>
      </c>
      <c r="AG173" s="807" t="s">
        <v>26</v>
      </c>
      <c r="AH173" s="807">
        <f>SUM(AH153:AH172)</f>
        <v>0</v>
      </c>
      <c r="AI173" s="807">
        <f>SUM(AI153:AI172)</f>
        <v>0</v>
      </c>
      <c r="AJ173" s="807"/>
      <c r="AK173" s="770" t="str">
        <f t="shared" si="43"/>
        <v/>
      </c>
    </row>
    <row r="174" spans="1:39" s="773" customFormat="1" ht="24" hidden="1" customHeight="1" x14ac:dyDescent="0.15">
      <c r="A174" s="877">
        <v>161</v>
      </c>
      <c r="B174" s="878"/>
      <c r="C174" s="879"/>
      <c r="D174" s="879"/>
      <c r="E174" s="880"/>
      <c r="F174" s="881"/>
      <c r="G174" s="902"/>
      <c r="H174" s="917"/>
      <c r="I174" s="917"/>
      <c r="J174" s="918"/>
      <c r="K174" s="918"/>
      <c r="L174" s="919"/>
      <c r="M174" s="879"/>
      <c r="N174" s="920"/>
      <c r="O174" s="921"/>
      <c r="P174" s="922"/>
      <c r="Q174" s="922"/>
      <c r="R174" s="922"/>
      <c r="S174" s="923"/>
      <c r="T174" s="770" t="s">
        <v>27</v>
      </c>
      <c r="U174" s="770">
        <f>COUNTIF(D174:D193,"전")</f>
        <v>0</v>
      </c>
      <c r="V174" s="771">
        <f>COUNTIF(I174:I193,"전")</f>
        <v>0</v>
      </c>
      <c r="W174" s="770" t="s">
        <v>26</v>
      </c>
      <c r="X174" s="770">
        <f>SUMIF(D174:D193,"전",F174:F193)</f>
        <v>0</v>
      </c>
      <c r="Y174" s="771">
        <f>SUMIF(I174:I193,"전",K174:K193)</f>
        <v>0</v>
      </c>
      <c r="Z174" s="770">
        <f>COUNTIF(AJ174:AJ193,"전국")+COUNTIF(AJ174:AJ193,"전공")</f>
        <v>0</v>
      </c>
      <c r="AA174" s="771">
        <f>COUNTIF(AK174:AK193,"전국")+COUNTIF(AK174:AK193,"전공")</f>
        <v>0</v>
      </c>
      <c r="AB174" s="770" t="s">
        <v>26</v>
      </c>
      <c r="AC174" s="770">
        <f>SUMIF(AJ174:AJ193,"전국",F174:F193)+SUMIF(AJ174:AJ193,"전공",F174:F193)</f>
        <v>0</v>
      </c>
      <c r="AD174" s="771">
        <f>SUMIF(AK174:AK193,"전국",K174:K193)+SUMIF(AK174:AK193,"전공",K174:K193)</f>
        <v>0</v>
      </c>
      <c r="AE174" s="770">
        <f t="shared" ref="AE174:AE190" si="51">U174-Z174</f>
        <v>0</v>
      </c>
      <c r="AF174" s="771">
        <f t="shared" ref="AF174:AF190" si="52">V174-AA174</f>
        <v>0</v>
      </c>
      <c r="AG174" s="770" t="s">
        <v>26</v>
      </c>
      <c r="AH174" s="770">
        <f t="shared" ref="AH174:AH190" si="53">X174-AC174</f>
        <v>0</v>
      </c>
      <c r="AI174" s="771">
        <f t="shared" ref="AI174:AI190" si="54">Y174-AD174</f>
        <v>0</v>
      </c>
      <c r="AJ174" s="770" t="str">
        <f t="shared" ref="AJ174:AJ193" si="55">CONCATENATE(D174,L174)</f>
        <v/>
      </c>
      <c r="AK174" s="770" t="str">
        <f t="shared" si="43"/>
        <v/>
      </c>
      <c r="AL174" s="772"/>
      <c r="AM174" s="772"/>
    </row>
    <row r="175" spans="1:39" s="773" customFormat="1" ht="24" hidden="1" customHeight="1" x14ac:dyDescent="0.15">
      <c r="A175" s="884">
        <v>162</v>
      </c>
      <c r="B175" s="654"/>
      <c r="C175" s="654"/>
      <c r="D175" s="654"/>
      <c r="E175" s="868"/>
      <c r="F175" s="869"/>
      <c r="G175" s="891"/>
      <c r="H175" s="924"/>
      <c r="I175" s="905"/>
      <c r="J175" s="914"/>
      <c r="K175" s="914"/>
      <c r="L175" s="655"/>
      <c r="M175" s="655"/>
      <c r="N175" s="895"/>
      <c r="O175" s="895"/>
      <c r="P175" s="925"/>
      <c r="Q175" s="925"/>
      <c r="R175" s="925"/>
      <c r="S175" s="926"/>
      <c r="T175" s="770" t="s">
        <v>28</v>
      </c>
      <c r="U175" s="770">
        <f>COUNTIF(D174:D193,"답")</f>
        <v>0</v>
      </c>
      <c r="V175" s="771">
        <f>COUNTIF(I174:I193,"답")</f>
        <v>0</v>
      </c>
      <c r="W175" s="770" t="s">
        <v>26</v>
      </c>
      <c r="X175" s="770">
        <f>SUMIF(D174:D193,"답",F174:F193)</f>
        <v>0</v>
      </c>
      <c r="Y175" s="771">
        <f>SUMIF(I174:I193,"답",K174:K193)</f>
        <v>0</v>
      </c>
      <c r="Z175" s="770">
        <f>COUNTIF(AJ174:AJ193,"답국")+COUNTIF(AJ174:AJ193,"답공")</f>
        <v>0</v>
      </c>
      <c r="AA175" s="771">
        <f>COUNTIF(AK174:AK193,"답국")+COUNTIF(AK174:AK193,"답공")</f>
        <v>0</v>
      </c>
      <c r="AB175" s="770" t="s">
        <v>26</v>
      </c>
      <c r="AC175" s="770">
        <f>SUMIF(AJ174:AJ193,"답국",F174:F193)+SUMIF(AJ174:AJ193,"답공",F174:F193)</f>
        <v>0</v>
      </c>
      <c r="AD175" s="771">
        <f>SUMIF(AK174:AK193,"답국",K174:K193)+SUMIF(AK174:AK193,"답공",K174:K193)</f>
        <v>0</v>
      </c>
      <c r="AE175" s="770">
        <f t="shared" si="51"/>
        <v>0</v>
      </c>
      <c r="AF175" s="771">
        <f t="shared" si="52"/>
        <v>0</v>
      </c>
      <c r="AG175" s="770" t="s">
        <v>26</v>
      </c>
      <c r="AH175" s="770">
        <f t="shared" si="53"/>
        <v>0</v>
      </c>
      <c r="AI175" s="771">
        <f t="shared" si="54"/>
        <v>0</v>
      </c>
      <c r="AJ175" s="770" t="str">
        <f t="shared" si="55"/>
        <v/>
      </c>
      <c r="AK175" s="770" t="str">
        <f t="shared" si="43"/>
        <v/>
      </c>
      <c r="AL175" s="772"/>
      <c r="AM175" s="772"/>
    </row>
    <row r="176" spans="1:39" s="773" customFormat="1" ht="24" hidden="1" customHeight="1" x14ac:dyDescent="0.15">
      <c r="A176" s="884">
        <v>163</v>
      </c>
      <c r="B176" s="654"/>
      <c r="C176" s="654"/>
      <c r="D176" s="654"/>
      <c r="E176" s="868"/>
      <c r="F176" s="869"/>
      <c r="G176" s="891"/>
      <c r="H176" s="905"/>
      <c r="I176" s="905"/>
      <c r="J176" s="914"/>
      <c r="K176" s="914"/>
      <c r="L176" s="654"/>
      <c r="M176" s="654"/>
      <c r="N176" s="896"/>
      <c r="O176" s="896"/>
      <c r="P176" s="925"/>
      <c r="Q176" s="925"/>
      <c r="R176" s="925"/>
      <c r="S176" s="926"/>
      <c r="T176" s="770" t="s">
        <v>44</v>
      </c>
      <c r="U176" s="770">
        <f>COUNTIF(D174:D193,"임")</f>
        <v>0</v>
      </c>
      <c r="V176" s="771">
        <f>COUNTIF(I174:I193,"임")</f>
        <v>0</v>
      </c>
      <c r="W176" s="770" t="s">
        <v>26</v>
      </c>
      <c r="X176" s="770">
        <f>SUMIF(D174:D193,"임",F174:F193)</f>
        <v>0</v>
      </c>
      <c r="Y176" s="771">
        <f>SUMIF(I174:I193,"임",K174:K193)</f>
        <v>0</v>
      </c>
      <c r="Z176" s="770">
        <f>COUNTIF(AJ174:AJ193,"임국")+COUNTIF(AJ174:AJ193,"임공")</f>
        <v>0</v>
      </c>
      <c r="AA176" s="771">
        <f>COUNTIF(AK174:AK193,"임국")+COUNTIF(AK174:AK193,"임공")</f>
        <v>0</v>
      </c>
      <c r="AB176" s="770" t="s">
        <v>26</v>
      </c>
      <c r="AC176" s="770">
        <f>SUMIF(AJ174:AJ193,"임국",F174:F193)+SUMIF(AJ174:AJ193,"임공",F174:F193)</f>
        <v>0</v>
      </c>
      <c r="AD176" s="771">
        <f>SUMIF(AK174:AK193,"임국",K174:K193)+SUMIF(AK174:AK193,"임공",K174:K193)</f>
        <v>0</v>
      </c>
      <c r="AE176" s="770">
        <f t="shared" si="51"/>
        <v>0</v>
      </c>
      <c r="AF176" s="771">
        <f t="shared" si="52"/>
        <v>0</v>
      </c>
      <c r="AG176" s="770" t="s">
        <v>26</v>
      </c>
      <c r="AH176" s="770">
        <f t="shared" si="53"/>
        <v>0</v>
      </c>
      <c r="AI176" s="771">
        <f t="shared" si="54"/>
        <v>0</v>
      </c>
      <c r="AJ176" s="770" t="str">
        <f t="shared" si="55"/>
        <v/>
      </c>
      <c r="AK176" s="770" t="str">
        <f t="shared" si="43"/>
        <v/>
      </c>
      <c r="AL176" s="772"/>
      <c r="AM176" s="772"/>
    </row>
    <row r="177" spans="1:39" s="773" customFormat="1" ht="24" hidden="1" customHeight="1" x14ac:dyDescent="0.15">
      <c r="A177" s="884">
        <v>164</v>
      </c>
      <c r="B177" s="654"/>
      <c r="C177" s="654"/>
      <c r="D177" s="654"/>
      <c r="E177" s="868"/>
      <c r="F177" s="869"/>
      <c r="G177" s="891"/>
      <c r="H177" s="924"/>
      <c r="I177" s="905"/>
      <c r="J177" s="914"/>
      <c r="K177" s="914"/>
      <c r="L177" s="654"/>
      <c r="M177" s="654"/>
      <c r="N177" s="896"/>
      <c r="O177" s="896"/>
      <c r="P177" s="925"/>
      <c r="Q177" s="925"/>
      <c r="R177" s="925"/>
      <c r="S177" s="926"/>
      <c r="T177" s="770" t="s">
        <v>45</v>
      </c>
      <c r="U177" s="770">
        <f>COUNTIF(D174:D193,"대")</f>
        <v>0</v>
      </c>
      <c r="V177" s="771">
        <f>COUNTIF(I174:I193,"대")</f>
        <v>0</v>
      </c>
      <c r="W177" s="770" t="s">
        <v>26</v>
      </c>
      <c r="X177" s="770">
        <f>SUMIF(D174:D193,"대",F174:F193)</f>
        <v>0</v>
      </c>
      <c r="Y177" s="771">
        <f>SUMIF(I174:I193,"대",K174:K193)</f>
        <v>0</v>
      </c>
      <c r="Z177" s="770">
        <f>COUNTIF(AJ174:AJ193,"대국")+COUNTIF(AJ174:AJ193,"대공")</f>
        <v>0</v>
      </c>
      <c r="AA177" s="771">
        <f>COUNTIF(AK174:AK193,"대국")+COUNTIF(AK174:AK193,"대공")</f>
        <v>0</v>
      </c>
      <c r="AB177" s="770" t="s">
        <v>26</v>
      </c>
      <c r="AC177" s="770">
        <f>SUMIF(AJ174:AJ193,"대국",F174:F193)+SUMIF(AJ174:AJ193,"대공",F174:F193)</f>
        <v>0</v>
      </c>
      <c r="AD177" s="771">
        <f>SUMIF(AK174:AK193,"대국",K174:K193)+SUMIF(AK174:AK193,"대공",K174:K193)</f>
        <v>0</v>
      </c>
      <c r="AE177" s="770">
        <f t="shared" si="51"/>
        <v>0</v>
      </c>
      <c r="AF177" s="771">
        <f t="shared" si="52"/>
        <v>0</v>
      </c>
      <c r="AG177" s="770" t="s">
        <v>26</v>
      </c>
      <c r="AH177" s="770">
        <f t="shared" si="53"/>
        <v>0</v>
      </c>
      <c r="AI177" s="771">
        <f t="shared" si="54"/>
        <v>0</v>
      </c>
      <c r="AJ177" s="770" t="str">
        <f t="shared" si="55"/>
        <v/>
      </c>
      <c r="AK177" s="770" t="str">
        <f t="shared" si="43"/>
        <v/>
      </c>
      <c r="AL177" s="772"/>
      <c r="AM177" s="772"/>
    </row>
    <row r="178" spans="1:39" s="773" customFormat="1" ht="24" hidden="1" customHeight="1" x14ac:dyDescent="0.15">
      <c r="A178" s="884">
        <v>165</v>
      </c>
      <c r="B178" s="654"/>
      <c r="C178" s="927"/>
      <c r="D178" s="654"/>
      <c r="E178" s="868"/>
      <c r="F178" s="869"/>
      <c r="G178" s="891"/>
      <c r="H178" s="928"/>
      <c r="I178" s="905"/>
      <c r="J178" s="914"/>
      <c r="K178" s="914"/>
      <c r="L178" s="655"/>
      <c r="M178" s="655"/>
      <c r="N178" s="895"/>
      <c r="O178" s="895"/>
      <c r="P178" s="925"/>
      <c r="Q178" s="925"/>
      <c r="R178" s="925"/>
      <c r="S178" s="926"/>
      <c r="T178" s="770" t="s">
        <v>31</v>
      </c>
      <c r="U178" s="770">
        <f>COUNTIF(D174:D193,"도")</f>
        <v>0</v>
      </c>
      <c r="V178" s="771">
        <f>COUNTIF(I174:I193,"도")</f>
        <v>0</v>
      </c>
      <c r="W178" s="770" t="s">
        <v>26</v>
      </c>
      <c r="X178" s="770">
        <f>SUMIF(D174:D193,"도",F174:F193)</f>
        <v>0</v>
      </c>
      <c r="Y178" s="771">
        <f>SUMIF(I174:I193,"도",K174:K193)</f>
        <v>0</v>
      </c>
      <c r="Z178" s="770">
        <f>COUNTIF(AJ174:AJ193,"도국")+COUNTIF(AJ174:AJ193,"도공")</f>
        <v>0</v>
      </c>
      <c r="AA178" s="771">
        <f>COUNTIF(AK174:AK193,"도국")+COUNTIF(AK174:AK193,"도공")</f>
        <v>0</v>
      </c>
      <c r="AB178" s="770" t="s">
        <v>26</v>
      </c>
      <c r="AC178" s="770">
        <f>SUMIF(AJ174:AJ193,"도국",F174:F193)+SUMIF(AJ174:AJ193,"도공",F174:F193)</f>
        <v>0</v>
      </c>
      <c r="AD178" s="771">
        <f>SUMIF(AK174:AK193,"도국",K174:K193)+SUMIF(AK174:AK193,"도공",K174:K193)</f>
        <v>0</v>
      </c>
      <c r="AE178" s="770">
        <f t="shared" si="51"/>
        <v>0</v>
      </c>
      <c r="AF178" s="771">
        <f t="shared" si="52"/>
        <v>0</v>
      </c>
      <c r="AG178" s="770" t="s">
        <v>26</v>
      </c>
      <c r="AH178" s="770">
        <f t="shared" si="53"/>
        <v>0</v>
      </c>
      <c r="AI178" s="771">
        <f t="shared" si="54"/>
        <v>0</v>
      </c>
      <c r="AJ178" s="770" t="str">
        <f t="shared" si="55"/>
        <v/>
      </c>
      <c r="AK178" s="770" t="str">
        <f t="shared" si="43"/>
        <v/>
      </c>
      <c r="AL178" s="772"/>
      <c r="AM178" s="772"/>
    </row>
    <row r="179" spans="1:39" s="773" customFormat="1" ht="24" hidden="1" customHeight="1" x14ac:dyDescent="0.15">
      <c r="A179" s="884">
        <v>166</v>
      </c>
      <c r="B179" s="654"/>
      <c r="C179" s="654"/>
      <c r="D179" s="654"/>
      <c r="E179" s="868"/>
      <c r="F179" s="869"/>
      <c r="G179" s="891"/>
      <c r="H179" s="905"/>
      <c r="I179" s="905"/>
      <c r="J179" s="914"/>
      <c r="K179" s="914"/>
      <c r="L179" s="655"/>
      <c r="M179" s="655"/>
      <c r="N179" s="895"/>
      <c r="O179" s="895"/>
      <c r="P179" s="925"/>
      <c r="Q179" s="925"/>
      <c r="R179" s="925"/>
      <c r="S179" s="926"/>
      <c r="T179" s="770" t="s">
        <v>32</v>
      </c>
      <c r="U179" s="786">
        <f>COUNTIF(D174:D193,"천")</f>
        <v>0</v>
      </c>
      <c r="V179" s="787">
        <f>COUNTIF(I174:I193,"천")</f>
        <v>0</v>
      </c>
      <c r="W179" s="770" t="s">
        <v>26</v>
      </c>
      <c r="X179" s="770">
        <f>SUMIF(D174:D193,"천",F174:F193)</f>
        <v>0</v>
      </c>
      <c r="Y179" s="771">
        <f>SUMIF(I174:I193,"천",K174:K193)</f>
        <v>0</v>
      </c>
      <c r="Z179" s="770">
        <f>COUNTIF(AJ174:AJ193,"천국")+COUNTIF(AJ174:AJ193,"천공")</f>
        <v>0</v>
      </c>
      <c r="AA179" s="771">
        <f>COUNTIF(AK174:AK193,"천국")+COUNTIF(AK174:AK193,"천공")</f>
        <v>0</v>
      </c>
      <c r="AB179" s="770" t="s">
        <v>26</v>
      </c>
      <c r="AC179" s="770">
        <f>SUMIF(AJ174:AJ193,"천국",F174:F193)+SUMIF(AJ174:AJ193,"천공",F174:F193)</f>
        <v>0</v>
      </c>
      <c r="AD179" s="771">
        <f>SUMIF(AK174:AK193,"천국",K174:K193)+SUMIF(AK174:AK193,"천공",K174:K193)</f>
        <v>0</v>
      </c>
      <c r="AE179" s="770">
        <f t="shared" si="51"/>
        <v>0</v>
      </c>
      <c r="AF179" s="771">
        <f t="shared" si="52"/>
        <v>0</v>
      </c>
      <c r="AG179" s="770" t="s">
        <v>26</v>
      </c>
      <c r="AH179" s="770">
        <f t="shared" si="53"/>
        <v>0</v>
      </c>
      <c r="AI179" s="771">
        <f t="shared" si="54"/>
        <v>0</v>
      </c>
      <c r="AJ179" s="770" t="str">
        <f t="shared" si="55"/>
        <v/>
      </c>
      <c r="AK179" s="770" t="str">
        <f t="shared" si="43"/>
        <v/>
      </c>
      <c r="AL179" s="772"/>
      <c r="AM179" s="772"/>
    </row>
    <row r="180" spans="1:39" s="773" customFormat="1" ht="24" hidden="1" customHeight="1" x14ac:dyDescent="0.15">
      <c r="A180" s="884">
        <v>167</v>
      </c>
      <c r="B180" s="654"/>
      <c r="C180" s="654"/>
      <c r="D180" s="654"/>
      <c r="E180" s="868"/>
      <c r="F180" s="869"/>
      <c r="G180" s="891"/>
      <c r="H180" s="905"/>
      <c r="I180" s="905"/>
      <c r="J180" s="914"/>
      <c r="K180" s="914"/>
      <c r="L180" s="655"/>
      <c r="M180" s="655"/>
      <c r="N180" s="895"/>
      <c r="O180" s="895"/>
      <c r="P180" s="925"/>
      <c r="Q180" s="929"/>
      <c r="R180" s="925"/>
      <c r="S180" s="926"/>
      <c r="T180" s="770" t="s">
        <v>33</v>
      </c>
      <c r="U180" s="770">
        <f>COUNTIF(D174:D193,"구")</f>
        <v>0</v>
      </c>
      <c r="V180" s="771">
        <f>COUNTIF(I174:I193,"구")</f>
        <v>0</v>
      </c>
      <c r="W180" s="770" t="s">
        <v>26</v>
      </c>
      <c r="X180" s="770">
        <f>SUMIF(D174:D193,"구",F174:F193)</f>
        <v>0</v>
      </c>
      <c r="Y180" s="771">
        <f>SUMIF(I174:I193,"구",K174:K193)</f>
        <v>0</v>
      </c>
      <c r="Z180" s="770">
        <f>COUNTIF(AJ174:AJ193,"구국")+COUNTIF(AJ174:AJ193,"구공")</f>
        <v>0</v>
      </c>
      <c r="AA180" s="771">
        <f>COUNTIF(AK174:AK193,"구국")+COUNTIF(AK174:AK193,"구공")</f>
        <v>0</v>
      </c>
      <c r="AB180" s="770" t="s">
        <v>26</v>
      </c>
      <c r="AC180" s="770">
        <f>SUMIF(AJ174:AJ193,"구국",F174:F193)+SUMIF(AJ174:AJ193,"구공",F174:F193)</f>
        <v>0</v>
      </c>
      <c r="AD180" s="771">
        <f>SUMIF(AK174:AK193,"구국",K174:K193)+SUMIF(AK174:AK193,"구공",K174:K193)</f>
        <v>0</v>
      </c>
      <c r="AE180" s="770">
        <f t="shared" si="51"/>
        <v>0</v>
      </c>
      <c r="AF180" s="771">
        <f t="shared" si="52"/>
        <v>0</v>
      </c>
      <c r="AG180" s="770" t="s">
        <v>26</v>
      </c>
      <c r="AH180" s="770">
        <f t="shared" si="53"/>
        <v>0</v>
      </c>
      <c r="AI180" s="771">
        <f t="shared" si="54"/>
        <v>0</v>
      </c>
      <c r="AJ180" s="770" t="str">
        <f t="shared" si="55"/>
        <v/>
      </c>
      <c r="AK180" s="770" t="str">
        <f t="shared" si="43"/>
        <v/>
      </c>
      <c r="AL180" s="772"/>
      <c r="AM180" s="772"/>
    </row>
    <row r="181" spans="1:39" s="773" customFormat="1" ht="24" hidden="1" customHeight="1" x14ac:dyDescent="0.15">
      <c r="A181" s="884">
        <v>168</v>
      </c>
      <c r="B181" s="654"/>
      <c r="C181" s="654"/>
      <c r="D181" s="654"/>
      <c r="E181" s="868"/>
      <c r="F181" s="869"/>
      <c r="G181" s="891"/>
      <c r="H181" s="905"/>
      <c r="I181" s="905"/>
      <c r="J181" s="914"/>
      <c r="K181" s="914"/>
      <c r="L181" s="655"/>
      <c r="M181" s="654"/>
      <c r="N181" s="895"/>
      <c r="O181" s="895"/>
      <c r="P181" s="925"/>
      <c r="Q181" s="925"/>
      <c r="R181" s="925"/>
      <c r="S181" s="926"/>
      <c r="T181" s="770" t="s">
        <v>34</v>
      </c>
      <c r="U181" s="770">
        <f>COUNTIF(D174:D193,"제")</f>
        <v>0</v>
      </c>
      <c r="V181" s="771">
        <f>COUNTIF(I174:I193,"제")</f>
        <v>0</v>
      </c>
      <c r="W181" s="770" t="s">
        <v>26</v>
      </c>
      <c r="X181" s="770">
        <f>SUMIF(D174:D193,"제",F174:F193)</f>
        <v>0</v>
      </c>
      <c r="Y181" s="771">
        <f>SUMIF(I174:I193,"제",K174:K193)</f>
        <v>0</v>
      </c>
      <c r="Z181" s="770">
        <f>COUNTIF(AJ174:AJ193,"제국")+COUNTIF(AJ174:AJ193,"제공")</f>
        <v>0</v>
      </c>
      <c r="AA181" s="771">
        <f>COUNTIF(AK174:AK193,"제국")+COUNTIF(AK174:AK193,"제공")</f>
        <v>0</v>
      </c>
      <c r="AB181" s="770" t="s">
        <v>26</v>
      </c>
      <c r="AC181" s="770">
        <f>SUMIF(AJ174:AJ193,"제국",F174:F193)+SUMIF(AJ174:AJ193,"제공",F174:F193)</f>
        <v>0</v>
      </c>
      <c r="AD181" s="771">
        <f>SUMIF(AK174:AK193,"제국",K174:K193)+SUMIF(AK174:AK193,"제공",K174:K193)</f>
        <v>0</v>
      </c>
      <c r="AE181" s="770">
        <f t="shared" si="51"/>
        <v>0</v>
      </c>
      <c r="AF181" s="771">
        <f t="shared" si="52"/>
        <v>0</v>
      </c>
      <c r="AG181" s="770" t="s">
        <v>26</v>
      </c>
      <c r="AH181" s="770">
        <f t="shared" si="53"/>
        <v>0</v>
      </c>
      <c r="AI181" s="771">
        <f t="shared" si="54"/>
        <v>0</v>
      </c>
      <c r="AJ181" s="770" t="str">
        <f t="shared" si="55"/>
        <v/>
      </c>
      <c r="AK181" s="770" t="str">
        <f t="shared" si="43"/>
        <v/>
      </c>
      <c r="AL181" s="772"/>
      <c r="AM181" s="772"/>
    </row>
    <row r="182" spans="1:39" s="773" customFormat="1" ht="24" hidden="1" customHeight="1" x14ac:dyDescent="0.15">
      <c r="A182" s="884">
        <v>169</v>
      </c>
      <c r="B182" s="654"/>
      <c r="C182" s="654"/>
      <c r="D182" s="654"/>
      <c r="E182" s="868"/>
      <c r="F182" s="869"/>
      <c r="G182" s="930"/>
      <c r="H182" s="913"/>
      <c r="I182" s="906"/>
      <c r="J182" s="907"/>
      <c r="K182" s="907"/>
      <c r="L182" s="892"/>
      <c r="M182" s="908"/>
      <c r="N182" s="893"/>
      <c r="O182" s="893"/>
      <c r="P182" s="925"/>
      <c r="Q182" s="925"/>
      <c r="R182" s="925"/>
      <c r="S182" s="926"/>
      <c r="T182" s="770" t="s">
        <v>46</v>
      </c>
      <c r="U182" s="770">
        <f>COUNTIF(D174:D193,"유")</f>
        <v>0</v>
      </c>
      <c r="V182" s="771">
        <f>COUNTIF(I174:I193,"유")</f>
        <v>0</v>
      </c>
      <c r="W182" s="770" t="s">
        <v>26</v>
      </c>
      <c r="X182" s="770">
        <f>SUMIF(D174:D193,"유",F174:F193)</f>
        <v>0</v>
      </c>
      <c r="Y182" s="771">
        <f>SUMIF(I174:I193,"유",K174:K193)</f>
        <v>0</v>
      </c>
      <c r="Z182" s="770">
        <f>COUNTIF(AJ174:AJ193,"유국")+COUNTIF(AJ174:AJ193,"유공")</f>
        <v>0</v>
      </c>
      <c r="AA182" s="771">
        <f>COUNTIF(AK174:AK193,"유국")+COUNTIF(AK174:AK193,"유공")</f>
        <v>0</v>
      </c>
      <c r="AB182" s="770" t="s">
        <v>26</v>
      </c>
      <c r="AC182" s="770">
        <f>SUMIF(AJ174:AJ193,"유국",F174:F193)+SUMIF(AJ174:AJ193,"유공",F174:F193)</f>
        <v>0</v>
      </c>
      <c r="AD182" s="771">
        <f>SUMIF(AK174:AK193,"유국",K174:K193)+SUMIF(AK174:AK193,"유공",K174:K193)</f>
        <v>0</v>
      </c>
      <c r="AE182" s="770">
        <f t="shared" si="51"/>
        <v>0</v>
      </c>
      <c r="AF182" s="771">
        <f t="shared" si="52"/>
        <v>0</v>
      </c>
      <c r="AG182" s="770" t="s">
        <v>26</v>
      </c>
      <c r="AH182" s="770">
        <f t="shared" si="53"/>
        <v>0</v>
      </c>
      <c r="AI182" s="771">
        <f t="shared" si="54"/>
        <v>0</v>
      </c>
      <c r="AJ182" s="770" t="str">
        <f t="shared" si="55"/>
        <v/>
      </c>
      <c r="AK182" s="770" t="str">
        <f t="shared" si="43"/>
        <v/>
      </c>
      <c r="AL182" s="772"/>
      <c r="AM182" s="772"/>
    </row>
    <row r="183" spans="1:39" s="773" customFormat="1" ht="24" hidden="1" customHeight="1" x14ac:dyDescent="0.15">
      <c r="A183" s="884">
        <v>170</v>
      </c>
      <c r="B183" s="654"/>
      <c r="C183" s="654"/>
      <c r="D183" s="654"/>
      <c r="E183" s="868"/>
      <c r="F183" s="869"/>
      <c r="G183" s="930"/>
      <c r="H183" s="905"/>
      <c r="I183" s="905"/>
      <c r="J183" s="914"/>
      <c r="K183" s="914"/>
      <c r="L183" s="654"/>
      <c r="M183" s="655"/>
      <c r="N183" s="896"/>
      <c r="O183" s="895"/>
      <c r="P183" s="925"/>
      <c r="Q183" s="925"/>
      <c r="R183" s="925"/>
      <c r="S183" s="926"/>
      <c r="T183" s="770" t="s">
        <v>47</v>
      </c>
      <c r="U183" s="770">
        <f>COUNTIF(D174:D193,"과")</f>
        <v>0</v>
      </c>
      <c r="V183" s="771">
        <f>COUNTIF(I174:I193,"과")</f>
        <v>0</v>
      </c>
      <c r="W183" s="770" t="s">
        <v>26</v>
      </c>
      <c r="X183" s="770">
        <f>SUMIF(D174:D193,"과",F174:F193)</f>
        <v>0</v>
      </c>
      <c r="Y183" s="771">
        <f>SUMIF(I174:I193,"과",K174:K193)</f>
        <v>0</v>
      </c>
      <c r="Z183" s="770">
        <f>COUNTIF(AJ174:AJ193,"과국")+COUNTIF(AJ174:AJ193,"과공")</f>
        <v>0</v>
      </c>
      <c r="AA183" s="771">
        <f>COUNTIF(AK174:AK193,"과국")+COUNTIF(AK174:AK193,"과공")</f>
        <v>0</v>
      </c>
      <c r="AB183" s="770" t="s">
        <v>26</v>
      </c>
      <c r="AC183" s="770">
        <f>SUMIF(AJ174:AJ193,"과국",F174:F193)+SUMIF(AJ174:AJ193,"과공",F174:F193)</f>
        <v>0</v>
      </c>
      <c r="AD183" s="771">
        <f>SUMIF(AK174:AK193,"과국",K174:K193)+SUMIF(AK174:AK193,"과공",K174:K193)</f>
        <v>0</v>
      </c>
      <c r="AE183" s="770">
        <f t="shared" si="51"/>
        <v>0</v>
      </c>
      <c r="AF183" s="771">
        <f t="shared" si="52"/>
        <v>0</v>
      </c>
      <c r="AG183" s="770" t="s">
        <v>26</v>
      </c>
      <c r="AH183" s="770">
        <f t="shared" si="53"/>
        <v>0</v>
      </c>
      <c r="AI183" s="771">
        <f t="shared" si="54"/>
        <v>0</v>
      </c>
      <c r="AJ183" s="770" t="str">
        <f t="shared" si="55"/>
        <v/>
      </c>
      <c r="AK183" s="770" t="str">
        <f t="shared" si="43"/>
        <v/>
      </c>
      <c r="AL183" s="772"/>
      <c r="AM183" s="772"/>
    </row>
    <row r="184" spans="1:39" s="773" customFormat="1" ht="24" hidden="1" customHeight="1" x14ac:dyDescent="0.15">
      <c r="A184" s="884">
        <v>171</v>
      </c>
      <c r="B184" s="654"/>
      <c r="C184" s="931"/>
      <c r="D184" s="931"/>
      <c r="E184" s="932"/>
      <c r="F184" s="932"/>
      <c r="G184" s="930"/>
      <c r="H184" s="913"/>
      <c r="I184" s="905"/>
      <c r="J184" s="914"/>
      <c r="K184" s="914"/>
      <c r="L184" s="654"/>
      <c r="M184" s="655"/>
      <c r="N184" s="896"/>
      <c r="O184" s="895"/>
      <c r="P184" s="925"/>
      <c r="Q184" s="925"/>
      <c r="R184" s="925"/>
      <c r="S184" s="926"/>
      <c r="T184" s="770" t="s">
        <v>36</v>
      </c>
      <c r="U184" s="770">
        <f>COUNTIF(D174:D193,"묘")</f>
        <v>0</v>
      </c>
      <c r="V184" s="771">
        <f>COUNTIF(I174:I193,"묘")</f>
        <v>0</v>
      </c>
      <c r="W184" s="770" t="s">
        <v>26</v>
      </c>
      <c r="X184" s="770">
        <f>SUMIF(D174:D193,"묘",F174:F193)</f>
        <v>0</v>
      </c>
      <c r="Y184" s="771">
        <f>SUMIF(I174:I193,"묘",K174:K193)</f>
        <v>0</v>
      </c>
      <c r="Z184" s="770">
        <f>COUNTIF(AJ174:AJ193,"묘국")+COUNTIF(AJ174:AJ193,"묘공")</f>
        <v>0</v>
      </c>
      <c r="AA184" s="771">
        <f>COUNTIF(AK174:AK193,"묘국")+COUNTIF(AK174:AK193,"묘공")</f>
        <v>0</v>
      </c>
      <c r="AB184" s="770" t="s">
        <v>26</v>
      </c>
      <c r="AC184" s="770">
        <f>SUMIF(AJ174:AJ193,"묘국",F174:F193)+SUMIF(AJ174:AJ193,"묘공",F174:F193)</f>
        <v>0</v>
      </c>
      <c r="AD184" s="771">
        <f>SUMIF(AK174:AK193,"묘국",K174:K193)+SUMIF(AK174:AK193,"묘공",K174:K193)</f>
        <v>0</v>
      </c>
      <c r="AE184" s="770">
        <f t="shared" si="51"/>
        <v>0</v>
      </c>
      <c r="AF184" s="771">
        <f t="shared" si="52"/>
        <v>0</v>
      </c>
      <c r="AG184" s="770" t="s">
        <v>26</v>
      </c>
      <c r="AH184" s="770">
        <f t="shared" si="53"/>
        <v>0</v>
      </c>
      <c r="AI184" s="771">
        <f t="shared" si="54"/>
        <v>0</v>
      </c>
      <c r="AJ184" s="770" t="str">
        <f t="shared" si="55"/>
        <v/>
      </c>
      <c r="AK184" s="770" t="str">
        <f t="shared" si="43"/>
        <v/>
      </c>
      <c r="AL184" s="772"/>
      <c r="AM184" s="772"/>
    </row>
    <row r="185" spans="1:39" s="773" customFormat="1" ht="24" hidden="1" customHeight="1" x14ac:dyDescent="0.15">
      <c r="A185" s="884">
        <v>172</v>
      </c>
      <c r="B185" s="654"/>
      <c r="C185" s="931"/>
      <c r="D185" s="931"/>
      <c r="E185" s="932"/>
      <c r="F185" s="932"/>
      <c r="G185" s="930"/>
      <c r="H185" s="913"/>
      <c r="I185" s="905"/>
      <c r="J185" s="914"/>
      <c r="K185" s="914"/>
      <c r="L185" s="654"/>
      <c r="M185" s="655"/>
      <c r="N185" s="896"/>
      <c r="O185" s="895"/>
      <c r="P185" s="925"/>
      <c r="Q185" s="925"/>
      <c r="R185" s="925"/>
      <c r="S185" s="926"/>
      <c r="T185" s="770" t="s">
        <v>39</v>
      </c>
      <c r="U185" s="770">
        <f>COUNTIF(D174:D193,"수")</f>
        <v>0</v>
      </c>
      <c r="V185" s="771">
        <f>COUNTIF(I174:I193,"수")</f>
        <v>0</v>
      </c>
      <c r="W185" s="770" t="s">
        <v>26</v>
      </c>
      <c r="X185" s="770">
        <f>SUMIF(D174:D193,"수",F174:F193)</f>
        <v>0</v>
      </c>
      <c r="Y185" s="771">
        <f>SUMIF(I174:I193,"수",K174:K193)</f>
        <v>0</v>
      </c>
      <c r="Z185" s="770">
        <f>COUNTIF(AJ174:AJ193,"수국")+COUNTIF(AJ174:AJ193,"수공")</f>
        <v>0</v>
      </c>
      <c r="AA185" s="771">
        <f>COUNTIF(AK174:AK193,"수국")+COUNTIF(AK174:AK193,"수공")</f>
        <v>0</v>
      </c>
      <c r="AB185" s="770" t="s">
        <v>26</v>
      </c>
      <c r="AC185" s="770">
        <f>SUMIF(AJ174:AJ193,"수국",F174:F193)+SUMIF(AJ174:AJ193,"수공",F174:F193)</f>
        <v>0</v>
      </c>
      <c r="AD185" s="771">
        <f>SUMIF(AK174:AK193,"수국",K174:K193)+SUMIF(AK174:AK193,"수공",K174:K193)</f>
        <v>0</v>
      </c>
      <c r="AE185" s="770">
        <f t="shared" si="51"/>
        <v>0</v>
      </c>
      <c r="AF185" s="771">
        <f t="shared" si="52"/>
        <v>0</v>
      </c>
      <c r="AG185" s="770" t="s">
        <v>26</v>
      </c>
      <c r="AH185" s="770">
        <f t="shared" si="53"/>
        <v>0</v>
      </c>
      <c r="AI185" s="771">
        <f t="shared" si="54"/>
        <v>0</v>
      </c>
      <c r="AJ185" s="770" t="str">
        <f t="shared" si="55"/>
        <v/>
      </c>
      <c r="AK185" s="770" t="str">
        <f t="shared" si="43"/>
        <v/>
      </c>
      <c r="AL185" s="772"/>
      <c r="AM185" s="772"/>
    </row>
    <row r="186" spans="1:39" s="773" customFormat="1" ht="24" hidden="1" customHeight="1" x14ac:dyDescent="0.15">
      <c r="A186" s="884">
        <v>173</v>
      </c>
      <c r="B186" s="654"/>
      <c r="C186" s="933"/>
      <c r="D186" s="931"/>
      <c r="E186" s="934"/>
      <c r="F186" s="934"/>
      <c r="G186" s="930"/>
      <c r="H186" s="913"/>
      <c r="I186" s="905"/>
      <c r="J186" s="914"/>
      <c r="K186" s="914"/>
      <c r="L186" s="655"/>
      <c r="M186" s="655"/>
      <c r="N186" s="895"/>
      <c r="O186" s="895"/>
      <c r="P186" s="925"/>
      <c r="Q186" s="925"/>
      <c r="R186" s="925"/>
      <c r="S186" s="926"/>
      <c r="T186" s="770" t="s">
        <v>35</v>
      </c>
      <c r="U186" s="770">
        <f>COUNTIF(D174:D193,"잡")</f>
        <v>0</v>
      </c>
      <c r="V186" s="771">
        <f>COUNTIF(I174:I193,"잡")</f>
        <v>0</v>
      </c>
      <c r="W186" s="770" t="s">
        <v>26</v>
      </c>
      <c r="X186" s="770">
        <f>SUMIF(D174:D193,"잡",F174:F193)</f>
        <v>0</v>
      </c>
      <c r="Y186" s="771">
        <f>SUMIF(I174:I193,"잡",K174:K193)</f>
        <v>0</v>
      </c>
      <c r="Z186" s="770">
        <f>COUNTIF(AJ174:AJ193,"잡국")+COUNTIF(AJ174:AJ193,"잡공")</f>
        <v>0</v>
      </c>
      <c r="AA186" s="771">
        <f>COUNTIF(AK174:AK193,"잡국")+COUNTIF(AK174:AK193,"잡공")</f>
        <v>0</v>
      </c>
      <c r="AB186" s="770" t="s">
        <v>26</v>
      </c>
      <c r="AC186" s="770">
        <f>SUMIF(AJ174:AJ193,"잡국",F174:F193)+SUMIF(AJ174:AJ193,"잡공",F174:F193)</f>
        <v>0</v>
      </c>
      <c r="AD186" s="771">
        <f>SUMIF(AK174:AK193,"잡국",K174:K193)+SUMIF(AK174:AK193,"잡공",K174:K193)</f>
        <v>0</v>
      </c>
      <c r="AE186" s="770">
        <f t="shared" si="51"/>
        <v>0</v>
      </c>
      <c r="AF186" s="771">
        <f t="shared" si="52"/>
        <v>0</v>
      </c>
      <c r="AG186" s="770" t="s">
        <v>26</v>
      </c>
      <c r="AH186" s="770">
        <f t="shared" si="53"/>
        <v>0</v>
      </c>
      <c r="AI186" s="771">
        <f t="shared" si="54"/>
        <v>0</v>
      </c>
      <c r="AJ186" s="770" t="str">
        <f t="shared" si="55"/>
        <v/>
      </c>
      <c r="AK186" s="770" t="str">
        <f t="shared" si="43"/>
        <v/>
      </c>
      <c r="AL186" s="772"/>
      <c r="AM186" s="772"/>
    </row>
    <row r="187" spans="1:39" s="773" customFormat="1" ht="24" hidden="1" customHeight="1" x14ac:dyDescent="0.15">
      <c r="A187" s="884">
        <v>174</v>
      </c>
      <c r="B187" s="654"/>
      <c r="C187" s="931"/>
      <c r="D187" s="931"/>
      <c r="E187" s="932"/>
      <c r="F187" s="932"/>
      <c r="G187" s="930"/>
      <c r="H187" s="905"/>
      <c r="I187" s="905"/>
      <c r="J187" s="914"/>
      <c r="K187" s="914"/>
      <c r="L187" s="654"/>
      <c r="M187" s="655"/>
      <c r="N187" s="896"/>
      <c r="O187" s="895"/>
      <c r="P187" s="925"/>
      <c r="Q187" s="925"/>
      <c r="R187" s="925"/>
      <c r="S187" s="926"/>
      <c r="T187" s="770" t="s">
        <v>51</v>
      </c>
      <c r="U187" s="770">
        <f>COUNTIF(D174:D193,"체")</f>
        <v>0</v>
      </c>
      <c r="V187" s="771">
        <f>COUNTIF(I174:I193,"체")</f>
        <v>0</v>
      </c>
      <c r="W187" s="770" t="s">
        <v>26</v>
      </c>
      <c r="X187" s="770">
        <f>SUMIF(D174:D193,"체",F174:F193)</f>
        <v>0</v>
      </c>
      <c r="Y187" s="771">
        <f>SUMIF(I174:I193,"체",K174:K193)</f>
        <v>0</v>
      </c>
      <c r="Z187" s="770">
        <f>COUNTIF(AJ174:AJ193,"체국")+COUNTIF(AJ174:AJ193,"체공")</f>
        <v>0</v>
      </c>
      <c r="AA187" s="771">
        <f>COUNTIF(AK174:AK193,"체국")+COUNTIF(AK174:AK193,"체공")</f>
        <v>0</v>
      </c>
      <c r="AB187" s="770" t="s">
        <v>26</v>
      </c>
      <c r="AC187" s="770">
        <f>SUMIF(AJ174:AJ193,"체국",F174:F193)+SUMIF(AJ174:AJ193,"체공",F174:F193)</f>
        <v>0</v>
      </c>
      <c r="AD187" s="771">
        <f>SUMIF(AK174:AK193,"체국",K174:K193)+SUMIF(AK174:AK193,"체공",K174:K193)</f>
        <v>0</v>
      </c>
      <c r="AE187" s="770">
        <f t="shared" si="51"/>
        <v>0</v>
      </c>
      <c r="AF187" s="771">
        <f t="shared" si="52"/>
        <v>0</v>
      </c>
      <c r="AG187" s="770" t="s">
        <v>26</v>
      </c>
      <c r="AH187" s="770">
        <f t="shared" si="53"/>
        <v>0</v>
      </c>
      <c r="AI187" s="771">
        <f t="shared" si="54"/>
        <v>0</v>
      </c>
      <c r="AJ187" s="770" t="str">
        <f t="shared" si="55"/>
        <v/>
      </c>
      <c r="AK187" s="770" t="str">
        <f t="shared" si="43"/>
        <v/>
      </c>
      <c r="AL187" s="772"/>
      <c r="AM187" s="772"/>
    </row>
    <row r="188" spans="1:39" s="773" customFormat="1" ht="24" hidden="1" customHeight="1" x14ac:dyDescent="0.15">
      <c r="A188" s="884">
        <v>175</v>
      </c>
      <c r="B188" s="654"/>
      <c r="C188" s="931"/>
      <c r="D188" s="931"/>
      <c r="E188" s="932"/>
      <c r="F188" s="932"/>
      <c r="G188" s="930"/>
      <c r="H188" s="905"/>
      <c r="I188" s="905"/>
      <c r="J188" s="914"/>
      <c r="K188" s="914"/>
      <c r="L188" s="654"/>
      <c r="M188" s="655"/>
      <c r="N188" s="896"/>
      <c r="O188" s="895"/>
      <c r="P188" s="925"/>
      <c r="Q188" s="925"/>
      <c r="R188" s="925"/>
      <c r="S188" s="926"/>
      <c r="T188" s="770" t="s">
        <v>50</v>
      </c>
      <c r="U188" s="770">
        <f>COUNTIF(D174:D193,"공")</f>
        <v>0</v>
      </c>
      <c r="V188" s="771">
        <f>COUNTIF(I174:I193,"공")</f>
        <v>0</v>
      </c>
      <c r="W188" s="770" t="s">
        <v>26</v>
      </c>
      <c r="X188" s="770">
        <f>SUMIF(D174:D193,"공",F174:F193)</f>
        <v>0</v>
      </c>
      <c r="Y188" s="771">
        <f>SUMIF(I174:I193,"공",K174:K193)</f>
        <v>0</v>
      </c>
      <c r="Z188" s="770">
        <f>COUNTIF(AJ174:AJ193,"공국")+COUNTIF(AJ174:AJ193,"공공")</f>
        <v>0</v>
      </c>
      <c r="AA188" s="771">
        <f>COUNTIF(AK174:AK193,"공국")+COUNTIF(AK174:AK193,"공공")</f>
        <v>0</v>
      </c>
      <c r="AB188" s="770" t="s">
        <v>26</v>
      </c>
      <c r="AC188" s="770">
        <f>SUMIF(AJ174:AJ193,"공국",F174:F193)+SUMIF(AJ174:AJ193,"공공",F174:F193)</f>
        <v>0</v>
      </c>
      <c r="AD188" s="771">
        <f>SUMIF(AK174:AK193,"공국",K174:K193)+SUMIF(AK174:AK193,"공공",K174:K193)</f>
        <v>0</v>
      </c>
      <c r="AE188" s="770">
        <f t="shared" si="51"/>
        <v>0</v>
      </c>
      <c r="AF188" s="771">
        <f t="shared" si="52"/>
        <v>0</v>
      </c>
      <c r="AG188" s="770" t="s">
        <v>26</v>
      </c>
      <c r="AH188" s="770">
        <f t="shared" si="53"/>
        <v>0</v>
      </c>
      <c r="AI188" s="771">
        <f t="shared" si="54"/>
        <v>0</v>
      </c>
      <c r="AJ188" s="770" t="str">
        <f t="shared" si="55"/>
        <v/>
      </c>
      <c r="AK188" s="770" t="str">
        <f t="shared" si="43"/>
        <v/>
      </c>
      <c r="AL188" s="772"/>
      <c r="AM188" s="772"/>
    </row>
    <row r="189" spans="1:39" s="773" customFormat="1" ht="24" hidden="1" customHeight="1" x14ac:dyDescent="0.15">
      <c r="A189" s="884">
        <v>176</v>
      </c>
      <c r="B189" s="654"/>
      <c r="C189" s="931"/>
      <c r="D189" s="931"/>
      <c r="E189" s="932"/>
      <c r="F189" s="932"/>
      <c r="G189" s="930"/>
      <c r="H189" s="905"/>
      <c r="I189" s="905"/>
      <c r="J189" s="914"/>
      <c r="K189" s="914"/>
      <c r="L189" s="654"/>
      <c r="M189" s="655"/>
      <c r="N189" s="896"/>
      <c r="O189" s="895"/>
      <c r="P189" s="655"/>
      <c r="Q189" s="655"/>
      <c r="R189" s="655"/>
      <c r="S189" s="926"/>
      <c r="T189" s="791" t="s">
        <v>40</v>
      </c>
      <c r="U189" s="770">
        <f>COUNTIF(D174:D193,"장")</f>
        <v>0</v>
      </c>
      <c r="V189" s="771">
        <f>COUNTIF(I174:I193,"장")</f>
        <v>0</v>
      </c>
      <c r="W189" s="770" t="s">
        <v>26</v>
      </c>
      <c r="X189" s="770">
        <f>SUMIF(D174:D193,"장",F174:F193)</f>
        <v>0</v>
      </c>
      <c r="Y189" s="771">
        <f>SUMIF(I174:I193,"장",K174:K193)</f>
        <v>0</v>
      </c>
      <c r="Z189" s="770">
        <f>COUNTIF(AJ174:AJ193,"장국")+COUNTIF(AJ174:AJ193,"장공")</f>
        <v>0</v>
      </c>
      <c r="AA189" s="771">
        <f>COUNTIF(AK174:AK193,"장국")+COUNTIF(AK174:AK193,"장공")</f>
        <v>0</v>
      </c>
      <c r="AB189" s="770" t="s">
        <v>26</v>
      </c>
      <c r="AC189" s="770">
        <f>SUMIF(AJ174:AJ193,"장국",F174:F193)+SUMIF(AJ174:AJ193,"장공",F174:F193)</f>
        <v>0</v>
      </c>
      <c r="AD189" s="771">
        <f>SUMIF(AK174:AK193,"장국",K174:K193)+SUMIF(AK174:AK193,"장공",K174:K193)</f>
        <v>0</v>
      </c>
      <c r="AE189" s="770">
        <f t="shared" si="51"/>
        <v>0</v>
      </c>
      <c r="AF189" s="771">
        <f t="shared" si="52"/>
        <v>0</v>
      </c>
      <c r="AG189" s="770" t="s">
        <v>26</v>
      </c>
      <c r="AH189" s="770">
        <f t="shared" si="53"/>
        <v>0</v>
      </c>
      <c r="AI189" s="771">
        <f t="shared" si="54"/>
        <v>0</v>
      </c>
      <c r="AJ189" s="770" t="str">
        <f t="shared" si="55"/>
        <v/>
      </c>
      <c r="AK189" s="770" t="str">
        <f t="shared" si="43"/>
        <v/>
      </c>
      <c r="AL189" s="772"/>
      <c r="AM189" s="772"/>
    </row>
    <row r="190" spans="1:39" s="773" customFormat="1" ht="24" hidden="1" customHeight="1" x14ac:dyDescent="0.15">
      <c r="A190" s="884">
        <v>177</v>
      </c>
      <c r="B190" s="654"/>
      <c r="C190" s="931"/>
      <c r="D190" s="931"/>
      <c r="E190" s="932"/>
      <c r="F190" s="932"/>
      <c r="G190" s="930"/>
      <c r="H190" s="905"/>
      <c r="I190" s="905"/>
      <c r="J190" s="914"/>
      <c r="K190" s="914"/>
      <c r="L190" s="654"/>
      <c r="M190" s="655"/>
      <c r="N190" s="896"/>
      <c r="O190" s="895"/>
      <c r="P190" s="655"/>
      <c r="Q190" s="655"/>
      <c r="R190" s="655"/>
      <c r="S190" s="926"/>
      <c r="T190" s="791" t="s">
        <v>79</v>
      </c>
      <c r="U190" s="770">
        <f>COUNTIF(D174:D193,"목")</f>
        <v>0</v>
      </c>
      <c r="V190" s="771">
        <f>COUNTIF(I174:I193,"목")</f>
        <v>0</v>
      </c>
      <c r="W190" s="770" t="s">
        <v>26</v>
      </c>
      <c r="X190" s="770">
        <f>SUMIF(D174:D193,"목",F174:F193)</f>
        <v>0</v>
      </c>
      <c r="Y190" s="771">
        <f>SUMIF(I174:I193,"목",K174:K193)</f>
        <v>0</v>
      </c>
      <c r="Z190" s="770">
        <f>COUNTIF(AJ174:AJ193,"목국")+COUNTIF(AJ174:AJ193,"목공")</f>
        <v>0</v>
      </c>
      <c r="AA190" s="771">
        <f>COUNTIF(AK174:AK193,"목국")+COUNTIF(AK174:AK193,"목공")</f>
        <v>0</v>
      </c>
      <c r="AB190" s="770" t="s">
        <v>26</v>
      </c>
      <c r="AC190" s="770">
        <f>SUMIF(AJ174:AJ193,"목국",F174:F193)+SUMIF(AJ174:AJ193,"목공",F174:F193)</f>
        <v>0</v>
      </c>
      <c r="AD190" s="771">
        <f>SUMIF(AK174:AK193,"목국",K174:K193)+SUMIF(AK174:AK193,"목공",K174:K193)</f>
        <v>0</v>
      </c>
      <c r="AE190" s="770">
        <f t="shared" si="51"/>
        <v>0</v>
      </c>
      <c r="AF190" s="771">
        <f t="shared" si="52"/>
        <v>0</v>
      </c>
      <c r="AG190" s="770" t="s">
        <v>26</v>
      </c>
      <c r="AH190" s="770">
        <f t="shared" si="53"/>
        <v>0</v>
      </c>
      <c r="AI190" s="771">
        <f t="shared" si="54"/>
        <v>0</v>
      </c>
      <c r="AJ190" s="770" t="str">
        <f t="shared" si="55"/>
        <v/>
      </c>
      <c r="AK190" s="770" t="str">
        <f t="shared" si="43"/>
        <v/>
      </c>
      <c r="AL190" s="772"/>
      <c r="AM190" s="772"/>
    </row>
    <row r="191" spans="1:39" s="773" customFormat="1" ht="24" hidden="1" customHeight="1" x14ac:dyDescent="0.15">
      <c r="A191" s="884">
        <v>178</v>
      </c>
      <c r="B191" s="654"/>
      <c r="C191" s="931"/>
      <c r="D191" s="931"/>
      <c r="E191" s="932"/>
      <c r="F191" s="932"/>
      <c r="G191" s="930"/>
      <c r="H191" s="905"/>
      <c r="I191" s="905"/>
      <c r="J191" s="914"/>
      <c r="K191" s="914"/>
      <c r="L191" s="654"/>
      <c r="M191" s="655"/>
      <c r="N191" s="896"/>
      <c r="O191" s="895"/>
      <c r="P191" s="655"/>
      <c r="Q191" s="655"/>
      <c r="R191" s="655"/>
      <c r="S191" s="926"/>
      <c r="T191" s="791"/>
      <c r="U191" s="791"/>
      <c r="V191" s="792"/>
      <c r="W191" s="791"/>
      <c r="X191" s="791"/>
      <c r="Y191" s="792"/>
      <c r="Z191" s="770"/>
      <c r="AA191" s="771"/>
      <c r="AB191" s="791"/>
      <c r="AC191" s="770"/>
      <c r="AD191" s="771"/>
      <c r="AE191" s="791"/>
      <c r="AF191" s="792"/>
      <c r="AG191" s="791"/>
      <c r="AH191" s="791"/>
      <c r="AI191" s="792"/>
      <c r="AJ191" s="770" t="str">
        <f t="shared" si="55"/>
        <v/>
      </c>
      <c r="AK191" s="770" t="str">
        <f t="shared" si="43"/>
        <v/>
      </c>
      <c r="AL191" s="772"/>
      <c r="AM191" s="772"/>
    </row>
    <row r="192" spans="1:39" s="773" customFormat="1" ht="24" hidden="1" customHeight="1" x14ac:dyDescent="0.15">
      <c r="A192" s="884">
        <v>179</v>
      </c>
      <c r="B192" s="654"/>
      <c r="C192" s="931"/>
      <c r="D192" s="931"/>
      <c r="E192" s="932"/>
      <c r="F192" s="932"/>
      <c r="G192" s="930"/>
      <c r="H192" s="905"/>
      <c r="I192" s="905"/>
      <c r="J192" s="914"/>
      <c r="K192" s="914"/>
      <c r="L192" s="654"/>
      <c r="M192" s="655"/>
      <c r="N192" s="896"/>
      <c r="O192" s="895"/>
      <c r="P192" s="655"/>
      <c r="Q192" s="655"/>
      <c r="R192" s="655"/>
      <c r="S192" s="926"/>
      <c r="T192" s="791"/>
      <c r="U192" s="791"/>
      <c r="V192" s="792"/>
      <c r="W192" s="791"/>
      <c r="X192" s="791"/>
      <c r="Y192" s="792"/>
      <c r="Z192" s="770"/>
      <c r="AA192" s="771"/>
      <c r="AB192" s="791"/>
      <c r="AC192" s="770"/>
      <c r="AD192" s="771"/>
      <c r="AE192" s="791"/>
      <c r="AF192" s="792"/>
      <c r="AG192" s="791"/>
      <c r="AH192" s="791"/>
      <c r="AI192" s="792"/>
      <c r="AJ192" s="770" t="str">
        <f t="shared" si="55"/>
        <v/>
      </c>
      <c r="AK192" s="770" t="str">
        <f t="shared" si="43"/>
        <v/>
      </c>
      <c r="AL192" s="772"/>
      <c r="AM192" s="772"/>
    </row>
    <row r="193" spans="1:39" s="773" customFormat="1" ht="24" hidden="1" customHeight="1" x14ac:dyDescent="0.15">
      <c r="A193" s="884">
        <v>180</v>
      </c>
      <c r="B193" s="654"/>
      <c r="C193" s="933"/>
      <c r="D193" s="931"/>
      <c r="E193" s="934"/>
      <c r="F193" s="934"/>
      <c r="G193" s="930"/>
      <c r="H193" s="905"/>
      <c r="I193" s="905"/>
      <c r="J193" s="914"/>
      <c r="K193" s="914"/>
      <c r="L193" s="654"/>
      <c r="M193" s="655"/>
      <c r="N193" s="896"/>
      <c r="O193" s="895"/>
      <c r="P193" s="655"/>
      <c r="Q193" s="655"/>
      <c r="R193" s="655"/>
      <c r="S193" s="671"/>
      <c r="T193" s="794" t="s">
        <v>37</v>
      </c>
      <c r="U193" s="794">
        <f>COUNTIF(D174:D193,"철")</f>
        <v>0</v>
      </c>
      <c r="V193" s="795">
        <f>COUNTIF(I174:I193,"철")</f>
        <v>0</v>
      </c>
      <c r="W193" s="794" t="s">
        <v>26</v>
      </c>
      <c r="X193" s="794">
        <f>SUMIF(D174:D193,"철",F174:F193)</f>
        <v>0</v>
      </c>
      <c r="Y193" s="795">
        <f>SUMIF(I174:I193,"철",K174:K193)</f>
        <v>0</v>
      </c>
      <c r="Z193" s="770">
        <f>COUNTIF(AJ174:AJ193,"철국")+COUNTIF(AJ174:AJ193,"철공")</f>
        <v>0</v>
      </c>
      <c r="AA193" s="771">
        <f>COUNTIF(AK174:AK193,"철국")+COUNTIF(AK174:AK193,"철공")</f>
        <v>0</v>
      </c>
      <c r="AB193" s="794" t="s">
        <v>26</v>
      </c>
      <c r="AC193" s="770">
        <f>SUMIF(AJ174:AJ193,"철국",F174:F193)+SUMIF(AJ174:AJ193,"철공",F174:F193)</f>
        <v>0</v>
      </c>
      <c r="AD193" s="771">
        <f>SUMIF(AK174:AK193,"철국",K174:K193)+SUMIF(AK174:AK193,"철공",K174:K193)</f>
        <v>0</v>
      </c>
      <c r="AE193" s="794"/>
      <c r="AF193" s="795"/>
      <c r="AG193" s="794"/>
      <c r="AH193" s="794"/>
      <c r="AI193" s="795"/>
      <c r="AJ193" s="770" t="str">
        <f t="shared" si="55"/>
        <v/>
      </c>
      <c r="AK193" s="770" t="str">
        <f t="shared" si="43"/>
        <v/>
      </c>
      <c r="AL193" s="772"/>
      <c r="AM193" s="772"/>
    </row>
    <row r="194" spans="1:39" s="755" customFormat="1" ht="24" hidden="1" customHeight="1" thickBot="1" x14ac:dyDescent="0.2">
      <c r="A194" s="1091" t="s">
        <v>48</v>
      </c>
      <c r="B194" s="1092"/>
      <c r="C194" s="1092"/>
      <c r="D194" s="1092"/>
      <c r="E194" s="1092"/>
      <c r="F194" s="798">
        <f>SUM(F174:F193)</f>
        <v>0</v>
      </c>
      <c r="G194" s="799"/>
      <c r="H194" s="799"/>
      <c r="I194" s="827"/>
      <c r="J194" s="936"/>
      <c r="K194" s="829">
        <f>SUM(K174:K193)</f>
        <v>0</v>
      </c>
      <c r="L194" s="803"/>
      <c r="M194" s="803"/>
      <c r="N194" s="804"/>
      <c r="O194" s="804"/>
      <c r="P194" s="803"/>
      <c r="Q194" s="803"/>
      <c r="R194" s="803"/>
      <c r="S194" s="805"/>
      <c r="T194" s="806" t="s">
        <v>24</v>
      </c>
      <c r="U194" s="807">
        <f t="shared" ref="U194:AA194" si="56">SUM(U174:U193)</f>
        <v>0</v>
      </c>
      <c r="V194" s="807">
        <f t="shared" si="56"/>
        <v>0</v>
      </c>
      <c r="W194" s="807">
        <f t="shared" si="56"/>
        <v>0</v>
      </c>
      <c r="X194" s="807">
        <f t="shared" si="56"/>
        <v>0</v>
      </c>
      <c r="Y194" s="807">
        <f t="shared" si="56"/>
        <v>0</v>
      </c>
      <c r="Z194" s="822">
        <f t="shared" si="56"/>
        <v>0</v>
      </c>
      <c r="AA194" s="823">
        <f t="shared" si="56"/>
        <v>0</v>
      </c>
      <c r="AB194" s="822" t="s">
        <v>26</v>
      </c>
      <c r="AC194" s="822">
        <f>SUM(AC174:AC193)</f>
        <v>0</v>
      </c>
      <c r="AD194" s="823">
        <f>SUM(AD174:AD193)</f>
        <v>0</v>
      </c>
      <c r="AE194" s="807">
        <f>SUM(AE174:AE193)</f>
        <v>0</v>
      </c>
      <c r="AF194" s="807">
        <f>SUM(AF174:AF193)</f>
        <v>0</v>
      </c>
      <c r="AG194" s="807" t="s">
        <v>26</v>
      </c>
      <c r="AH194" s="807">
        <f>SUM(AH174:AH193)</f>
        <v>0</v>
      </c>
      <c r="AI194" s="807">
        <f>SUM(AI174:AI193)</f>
        <v>0</v>
      </c>
      <c r="AJ194" s="807"/>
      <c r="AK194" s="770" t="str">
        <f t="shared" si="43"/>
        <v/>
      </c>
    </row>
    <row r="195" spans="1:39" s="773" customFormat="1" ht="24" hidden="1" customHeight="1" x14ac:dyDescent="0.15">
      <c r="A195" s="877">
        <v>181</v>
      </c>
      <c r="B195" s="878"/>
      <c r="C195" s="937"/>
      <c r="D195" s="937"/>
      <c r="E195" s="938"/>
      <c r="F195" s="938"/>
      <c r="G195" s="939"/>
      <c r="H195" s="917"/>
      <c r="I195" s="917"/>
      <c r="J195" s="918"/>
      <c r="K195" s="918"/>
      <c r="L195" s="879"/>
      <c r="M195" s="919"/>
      <c r="N195" s="921"/>
      <c r="O195" s="920"/>
      <c r="P195" s="919"/>
      <c r="Q195" s="919"/>
      <c r="R195" s="919"/>
      <c r="S195" s="940"/>
      <c r="T195" s="770" t="s">
        <v>27</v>
      </c>
      <c r="U195" s="770">
        <f>COUNTIF(D195:D214,"전")</f>
        <v>0</v>
      </c>
      <c r="V195" s="771">
        <f>COUNTIF(I195:I214,"전")</f>
        <v>0</v>
      </c>
      <c r="W195" s="770" t="s">
        <v>26</v>
      </c>
      <c r="X195" s="770">
        <f>SUMIF(D195:D214,"전",F195:F214)</f>
        <v>0</v>
      </c>
      <c r="Y195" s="771">
        <f>SUMIF(I195:I214,"전",K195:K214)</f>
        <v>0</v>
      </c>
      <c r="Z195" s="770">
        <f>COUNTIF(AJ195:AJ214,"전국")+COUNTIF(AJ195:AJ214,"전공")</f>
        <v>0</v>
      </c>
      <c r="AA195" s="771">
        <f>COUNTIF(AK195:AK214,"전국")+COUNTIF(AK195:AK214,"전공")</f>
        <v>0</v>
      </c>
      <c r="AB195" s="770" t="s">
        <v>26</v>
      </c>
      <c r="AC195" s="770">
        <f>SUMIF(AJ195:AJ214,"전국",F195:F214)+SUMIF(AJ195:AJ214,"전공",F195:F214)</f>
        <v>0</v>
      </c>
      <c r="AD195" s="771">
        <f>SUMIF(AK195:AK214,"전국",K195:K214)+SUMIF(AK195:AK214,"전공",K195:K214)</f>
        <v>0</v>
      </c>
      <c r="AE195" s="770">
        <f t="shared" ref="AE195:AE211" si="57">U195-Z195</f>
        <v>0</v>
      </c>
      <c r="AF195" s="771">
        <f t="shared" ref="AF195:AF211" si="58">V195-AA195</f>
        <v>0</v>
      </c>
      <c r="AG195" s="770" t="s">
        <v>26</v>
      </c>
      <c r="AH195" s="770">
        <f t="shared" ref="AH195:AH211" si="59">X195-AC195</f>
        <v>0</v>
      </c>
      <c r="AI195" s="771">
        <f t="shared" ref="AI195:AI211" si="60">Y195-AD195</f>
        <v>0</v>
      </c>
      <c r="AJ195" s="770" t="str">
        <f t="shared" ref="AJ195:AJ214" si="61">CONCATENATE(D195,L195)</f>
        <v/>
      </c>
      <c r="AK195" s="770" t="str">
        <f t="shared" si="43"/>
        <v/>
      </c>
      <c r="AL195" s="772"/>
      <c r="AM195" s="772"/>
    </row>
    <row r="196" spans="1:39" s="773" customFormat="1" ht="24" hidden="1" customHeight="1" x14ac:dyDescent="0.15">
      <c r="A196" s="884">
        <v>182</v>
      </c>
      <c r="B196" s="654"/>
      <c r="C196" s="933"/>
      <c r="D196" s="931"/>
      <c r="E196" s="934"/>
      <c r="F196" s="934"/>
      <c r="G196" s="930"/>
      <c r="H196" s="905"/>
      <c r="I196" s="905"/>
      <c r="J196" s="914"/>
      <c r="K196" s="914"/>
      <c r="L196" s="655"/>
      <c r="M196" s="655"/>
      <c r="N196" s="895"/>
      <c r="O196" s="895"/>
      <c r="P196" s="655"/>
      <c r="Q196" s="655"/>
      <c r="R196" s="655"/>
      <c r="S196" s="671"/>
      <c r="T196" s="770" t="s">
        <v>28</v>
      </c>
      <c r="U196" s="770">
        <f>COUNTIF(D195:D214,"답")</f>
        <v>0</v>
      </c>
      <c r="V196" s="771">
        <f>COUNTIF(I195:I214,"답")</f>
        <v>0</v>
      </c>
      <c r="W196" s="770" t="s">
        <v>26</v>
      </c>
      <c r="X196" s="770">
        <f>SUMIF(D195:D214,"답",F195:F214)</f>
        <v>0</v>
      </c>
      <c r="Y196" s="771">
        <f>SUMIF(I195:I214,"답",K195:K214)</f>
        <v>0</v>
      </c>
      <c r="Z196" s="770">
        <f>COUNTIF(AJ195:AJ214,"답국")+COUNTIF(AJ195:AJ214,"답공")</f>
        <v>0</v>
      </c>
      <c r="AA196" s="771">
        <f>COUNTIF(AK195:AK214,"답국")+COUNTIF(AK195:AK214,"답공")</f>
        <v>0</v>
      </c>
      <c r="AB196" s="770" t="s">
        <v>26</v>
      </c>
      <c r="AC196" s="770">
        <f>SUMIF(AJ195:AJ214,"답국",F195:F214)+SUMIF(AJ195:AJ214,"답공",F195:F214)</f>
        <v>0</v>
      </c>
      <c r="AD196" s="771">
        <f>SUMIF(AK195:AK214,"답국",K195:K214)+SUMIF(AK195:AK214,"답공",K195:K214)</f>
        <v>0</v>
      </c>
      <c r="AE196" s="770">
        <f t="shared" si="57"/>
        <v>0</v>
      </c>
      <c r="AF196" s="771">
        <f t="shared" si="58"/>
        <v>0</v>
      </c>
      <c r="AG196" s="770" t="s">
        <v>26</v>
      </c>
      <c r="AH196" s="770">
        <f t="shared" si="59"/>
        <v>0</v>
      </c>
      <c r="AI196" s="771">
        <f t="shared" si="60"/>
        <v>0</v>
      </c>
      <c r="AJ196" s="770" t="str">
        <f t="shared" si="61"/>
        <v/>
      </c>
      <c r="AK196" s="770" t="str">
        <f t="shared" si="43"/>
        <v/>
      </c>
      <c r="AL196" s="772"/>
      <c r="AM196" s="772"/>
    </row>
    <row r="197" spans="1:39" s="773" customFormat="1" ht="24" hidden="1" customHeight="1" x14ac:dyDescent="0.15">
      <c r="A197" s="884">
        <v>183</v>
      </c>
      <c r="B197" s="654"/>
      <c r="C197" s="931"/>
      <c r="D197" s="931"/>
      <c r="E197" s="941"/>
      <c r="F197" s="932"/>
      <c r="G197" s="930"/>
      <c r="H197" s="913"/>
      <c r="I197" s="905"/>
      <c r="J197" s="914"/>
      <c r="K197" s="914"/>
      <c r="L197" s="655"/>
      <c r="M197" s="655"/>
      <c r="N197" s="895"/>
      <c r="O197" s="895"/>
      <c r="P197" s="655"/>
      <c r="Q197" s="655"/>
      <c r="R197" s="655"/>
      <c r="S197" s="671"/>
      <c r="T197" s="770" t="s">
        <v>44</v>
      </c>
      <c r="U197" s="770">
        <f>COUNTIF(D195:D214,"임")</f>
        <v>0</v>
      </c>
      <c r="V197" s="771">
        <f>COUNTIF(I195:I214,"임")</f>
        <v>0</v>
      </c>
      <c r="W197" s="770" t="s">
        <v>26</v>
      </c>
      <c r="X197" s="770">
        <f>SUMIF(D195:D214,"임",F195:F214)</f>
        <v>0</v>
      </c>
      <c r="Y197" s="771">
        <f>SUMIF(I195:I214,"임",K195:K214)</f>
        <v>0</v>
      </c>
      <c r="Z197" s="770">
        <f>COUNTIF(AJ195:AJ214,"임국")+COUNTIF(AJ195:AJ214,"임공")</f>
        <v>0</v>
      </c>
      <c r="AA197" s="771">
        <f>COUNTIF(AK195:AK214,"임국")+COUNTIF(AK195:AK214,"임공")</f>
        <v>0</v>
      </c>
      <c r="AB197" s="770" t="s">
        <v>26</v>
      </c>
      <c r="AC197" s="770">
        <f>SUMIF(AJ195:AJ214,"임국",F195:F214)+SUMIF(AJ195:AJ214,"임공",F195:F214)</f>
        <v>0</v>
      </c>
      <c r="AD197" s="771">
        <f>SUMIF(AK195:AK214,"임국",K195:K214)+SUMIF(AK195:AK214,"임공",K195:K214)</f>
        <v>0</v>
      </c>
      <c r="AE197" s="770">
        <f t="shared" si="57"/>
        <v>0</v>
      </c>
      <c r="AF197" s="771">
        <f t="shared" si="58"/>
        <v>0</v>
      </c>
      <c r="AG197" s="770" t="s">
        <v>26</v>
      </c>
      <c r="AH197" s="770">
        <f t="shared" si="59"/>
        <v>0</v>
      </c>
      <c r="AI197" s="771">
        <f t="shared" si="60"/>
        <v>0</v>
      </c>
      <c r="AJ197" s="770" t="str">
        <f t="shared" si="61"/>
        <v/>
      </c>
      <c r="AK197" s="770" t="str">
        <f t="shared" si="43"/>
        <v/>
      </c>
      <c r="AL197" s="772"/>
      <c r="AM197" s="772"/>
    </row>
    <row r="198" spans="1:39" s="773" customFormat="1" ht="24" hidden="1" customHeight="1" x14ac:dyDescent="0.15">
      <c r="A198" s="884">
        <v>184</v>
      </c>
      <c r="B198" s="654"/>
      <c r="C198" s="931"/>
      <c r="D198" s="931"/>
      <c r="E198" s="932"/>
      <c r="F198" s="932"/>
      <c r="G198" s="942"/>
      <c r="H198" s="905"/>
      <c r="I198" s="905"/>
      <c r="J198" s="914"/>
      <c r="K198" s="914"/>
      <c r="L198" s="654"/>
      <c r="M198" s="904"/>
      <c r="N198" s="896"/>
      <c r="O198" s="895"/>
      <c r="P198" s="655"/>
      <c r="Q198" s="655"/>
      <c r="R198" s="655"/>
      <c r="S198" s="671"/>
      <c r="T198" s="770" t="s">
        <v>45</v>
      </c>
      <c r="U198" s="770">
        <f>COUNTIF(D195:D214,"대")</f>
        <v>0</v>
      </c>
      <c r="V198" s="771">
        <f>COUNTIF(I195:I214,"대")</f>
        <v>0</v>
      </c>
      <c r="W198" s="770" t="s">
        <v>26</v>
      </c>
      <c r="X198" s="770">
        <f>SUMIF(D195:D214,"대",F195:F214)</f>
        <v>0</v>
      </c>
      <c r="Y198" s="771">
        <f>SUMIF(I195:I214,"대",K195:K214)</f>
        <v>0</v>
      </c>
      <c r="Z198" s="770">
        <f>COUNTIF(AJ195:AJ214,"대국")+COUNTIF(AJ195:AJ214,"대공")</f>
        <v>0</v>
      </c>
      <c r="AA198" s="771">
        <f>COUNTIF(AK195:AK214,"대국")+COUNTIF(AK195:AK214,"대공")</f>
        <v>0</v>
      </c>
      <c r="AB198" s="770" t="s">
        <v>26</v>
      </c>
      <c r="AC198" s="770">
        <f>SUMIF(AJ195:AJ214,"대국",F195:F214)+SUMIF(AJ195:AJ214,"대공",F195:F214)</f>
        <v>0</v>
      </c>
      <c r="AD198" s="771">
        <f>SUMIF(AK195:AK214,"대국",K195:K214)+SUMIF(AK195:AK214,"대공",K195:K214)</f>
        <v>0</v>
      </c>
      <c r="AE198" s="770">
        <f t="shared" si="57"/>
        <v>0</v>
      </c>
      <c r="AF198" s="771">
        <f t="shared" si="58"/>
        <v>0</v>
      </c>
      <c r="AG198" s="770" t="s">
        <v>26</v>
      </c>
      <c r="AH198" s="770">
        <f t="shared" si="59"/>
        <v>0</v>
      </c>
      <c r="AI198" s="771">
        <f t="shared" si="60"/>
        <v>0</v>
      </c>
      <c r="AJ198" s="770" t="str">
        <f t="shared" si="61"/>
        <v/>
      </c>
      <c r="AK198" s="770" t="str">
        <f t="shared" si="43"/>
        <v/>
      </c>
      <c r="AL198" s="772"/>
      <c r="AM198" s="772"/>
    </row>
    <row r="199" spans="1:39" s="773" customFormat="1" ht="24" hidden="1" customHeight="1" x14ac:dyDescent="0.15">
      <c r="A199" s="884">
        <v>185</v>
      </c>
      <c r="B199" s="654"/>
      <c r="C199" s="931"/>
      <c r="D199" s="931"/>
      <c r="E199" s="932"/>
      <c r="F199" s="932"/>
      <c r="G199" s="942"/>
      <c r="H199" s="905"/>
      <c r="I199" s="905"/>
      <c r="J199" s="914"/>
      <c r="K199" s="914"/>
      <c r="L199" s="655"/>
      <c r="M199" s="655"/>
      <c r="N199" s="896"/>
      <c r="O199" s="895"/>
      <c r="P199" s="655"/>
      <c r="Q199" s="655"/>
      <c r="R199" s="655"/>
      <c r="S199" s="671"/>
      <c r="T199" s="770" t="s">
        <v>31</v>
      </c>
      <c r="U199" s="770">
        <f>COUNTIF(D195:D214,"도")</f>
        <v>0</v>
      </c>
      <c r="V199" s="771">
        <f>COUNTIF(I195:I214,"도")</f>
        <v>0</v>
      </c>
      <c r="W199" s="770" t="s">
        <v>26</v>
      </c>
      <c r="X199" s="770">
        <f>SUMIF(D195:D214,"도",F195:F214)</f>
        <v>0</v>
      </c>
      <c r="Y199" s="771">
        <f>SUMIF(I195:I214,"도",K195:K214)</f>
        <v>0</v>
      </c>
      <c r="Z199" s="770">
        <f>COUNTIF(AJ195:AJ214,"도국")+COUNTIF(AJ195:AJ214,"도공")</f>
        <v>0</v>
      </c>
      <c r="AA199" s="771">
        <f>COUNTIF(AK195:AK214,"도국")+COUNTIF(AK195:AK214,"도공")</f>
        <v>0</v>
      </c>
      <c r="AB199" s="770" t="s">
        <v>26</v>
      </c>
      <c r="AC199" s="770">
        <f>SUMIF(AJ195:AJ214,"도국",F195:F214)+SUMIF(AJ195:AJ214,"도공",F195:F214)</f>
        <v>0</v>
      </c>
      <c r="AD199" s="771">
        <f>SUMIF(AK195:AK214,"도국",K195:K214)+SUMIF(AK195:AK214,"도공",K195:K214)</f>
        <v>0</v>
      </c>
      <c r="AE199" s="770">
        <f t="shared" si="57"/>
        <v>0</v>
      </c>
      <c r="AF199" s="771">
        <f t="shared" si="58"/>
        <v>0</v>
      </c>
      <c r="AG199" s="770" t="s">
        <v>26</v>
      </c>
      <c r="AH199" s="770">
        <f t="shared" si="59"/>
        <v>0</v>
      </c>
      <c r="AI199" s="771">
        <f t="shared" si="60"/>
        <v>0</v>
      </c>
      <c r="AJ199" s="770" t="str">
        <f t="shared" si="61"/>
        <v/>
      </c>
      <c r="AK199" s="770" t="str">
        <f t="shared" ref="AK199:AK215" si="62">CONCATENATE(I199,N199)</f>
        <v/>
      </c>
      <c r="AL199" s="772"/>
      <c r="AM199" s="772"/>
    </row>
    <row r="200" spans="1:39" s="773" customFormat="1" ht="24" hidden="1" customHeight="1" x14ac:dyDescent="0.15">
      <c r="A200" s="884">
        <v>186</v>
      </c>
      <c r="B200" s="654"/>
      <c r="C200" s="931"/>
      <c r="D200" s="931"/>
      <c r="E200" s="932"/>
      <c r="F200" s="932"/>
      <c r="G200" s="942"/>
      <c r="H200" s="905"/>
      <c r="I200" s="905"/>
      <c r="J200" s="914"/>
      <c r="K200" s="914"/>
      <c r="L200" s="655"/>
      <c r="M200" s="904"/>
      <c r="N200" s="896"/>
      <c r="O200" s="895"/>
      <c r="P200" s="655"/>
      <c r="Q200" s="655"/>
      <c r="R200" s="655"/>
      <c r="S200" s="671"/>
      <c r="T200" s="770" t="s">
        <v>32</v>
      </c>
      <c r="U200" s="786">
        <f>COUNTIF(D195:D214,"천")</f>
        <v>0</v>
      </c>
      <c r="V200" s="787">
        <f>COUNTIF(I195:I214,"천")</f>
        <v>0</v>
      </c>
      <c r="W200" s="770" t="s">
        <v>26</v>
      </c>
      <c r="X200" s="770">
        <f>SUMIF(D195:D214,"천",F195:F214)</f>
        <v>0</v>
      </c>
      <c r="Y200" s="771">
        <f>SUMIF(I195:I214,"천",K195:K214)</f>
        <v>0</v>
      </c>
      <c r="Z200" s="770">
        <f>COUNTIF(AJ195:AJ214,"천국")+COUNTIF(AJ195:AJ214,"천공")</f>
        <v>0</v>
      </c>
      <c r="AA200" s="771">
        <f>COUNTIF(AK195:AK214,"천국")+COUNTIF(AK195:AK214,"천공")</f>
        <v>0</v>
      </c>
      <c r="AB200" s="770" t="s">
        <v>26</v>
      </c>
      <c r="AC200" s="770">
        <f>SUMIF(AJ195:AJ214,"천국",F195:F214)+SUMIF(AJ195:AJ214,"천공",F195:F214)</f>
        <v>0</v>
      </c>
      <c r="AD200" s="771">
        <f>SUMIF(AK195:AK214,"천국",K195:K214)+SUMIF(AK195:AK214,"천공",K195:K214)</f>
        <v>0</v>
      </c>
      <c r="AE200" s="770">
        <f t="shared" si="57"/>
        <v>0</v>
      </c>
      <c r="AF200" s="771">
        <f t="shared" si="58"/>
        <v>0</v>
      </c>
      <c r="AG200" s="770" t="s">
        <v>26</v>
      </c>
      <c r="AH200" s="770">
        <f t="shared" si="59"/>
        <v>0</v>
      </c>
      <c r="AI200" s="771">
        <f t="shared" si="60"/>
        <v>0</v>
      </c>
      <c r="AJ200" s="770" t="str">
        <f t="shared" si="61"/>
        <v/>
      </c>
      <c r="AK200" s="770" t="str">
        <f t="shared" si="62"/>
        <v/>
      </c>
      <c r="AL200" s="772"/>
      <c r="AM200" s="772"/>
    </row>
    <row r="201" spans="1:39" s="773" customFormat="1" ht="24" hidden="1" customHeight="1" x14ac:dyDescent="0.15">
      <c r="A201" s="884">
        <v>187</v>
      </c>
      <c r="B201" s="654"/>
      <c r="C201" s="931"/>
      <c r="D201" s="931"/>
      <c r="E201" s="932"/>
      <c r="F201" s="932"/>
      <c r="G201" s="943"/>
      <c r="H201" s="905"/>
      <c r="I201" s="905"/>
      <c r="J201" s="914"/>
      <c r="K201" s="914"/>
      <c r="L201" s="655"/>
      <c r="M201" s="655"/>
      <c r="N201" s="896"/>
      <c r="O201" s="895"/>
      <c r="P201" s="655"/>
      <c r="Q201" s="655"/>
      <c r="R201" s="655"/>
      <c r="S201" s="671"/>
      <c r="T201" s="770" t="s">
        <v>33</v>
      </c>
      <c r="U201" s="770">
        <f>COUNTIF(D195:D214,"구")</f>
        <v>0</v>
      </c>
      <c r="V201" s="771">
        <f>COUNTIF(I195:I214,"구")</f>
        <v>0</v>
      </c>
      <c r="W201" s="770" t="s">
        <v>26</v>
      </c>
      <c r="X201" s="770">
        <f>SUMIF(D195:D214,"구",F195:F214)</f>
        <v>0</v>
      </c>
      <c r="Y201" s="771">
        <f>SUMIF(I195:I214,"구",K195:K214)</f>
        <v>0</v>
      </c>
      <c r="Z201" s="770">
        <f>COUNTIF(AJ195:AJ214,"구국")+COUNTIF(AJ195:AJ214,"구공")</f>
        <v>0</v>
      </c>
      <c r="AA201" s="771">
        <f>COUNTIF(AK195:AK214,"구국")+COUNTIF(AK195:AK214,"구공")</f>
        <v>0</v>
      </c>
      <c r="AB201" s="770" t="s">
        <v>26</v>
      </c>
      <c r="AC201" s="770">
        <f>SUMIF(AJ195:AJ214,"구국",F195:F214)+SUMIF(AJ195:AJ214,"구공",F195:F214)</f>
        <v>0</v>
      </c>
      <c r="AD201" s="771">
        <f>SUMIF(AK195:AK214,"구국",K195:K214)+SUMIF(AK195:AK214,"구공",K195:K214)</f>
        <v>0</v>
      </c>
      <c r="AE201" s="770">
        <f t="shared" si="57"/>
        <v>0</v>
      </c>
      <c r="AF201" s="771">
        <f t="shared" si="58"/>
        <v>0</v>
      </c>
      <c r="AG201" s="770" t="s">
        <v>26</v>
      </c>
      <c r="AH201" s="770">
        <f t="shared" si="59"/>
        <v>0</v>
      </c>
      <c r="AI201" s="771">
        <f t="shared" si="60"/>
        <v>0</v>
      </c>
      <c r="AJ201" s="770" t="str">
        <f t="shared" si="61"/>
        <v/>
      </c>
      <c r="AK201" s="770" t="str">
        <f t="shared" si="62"/>
        <v/>
      </c>
      <c r="AL201" s="772"/>
      <c r="AM201" s="772"/>
    </row>
    <row r="202" spans="1:39" s="773" customFormat="1" ht="24" hidden="1" customHeight="1" x14ac:dyDescent="0.15">
      <c r="A202" s="884">
        <v>188</v>
      </c>
      <c r="B202" s="654"/>
      <c r="C202" s="931"/>
      <c r="D202" s="931"/>
      <c r="E202" s="932"/>
      <c r="F202" s="932"/>
      <c r="G202" s="942"/>
      <c r="H202" s="905"/>
      <c r="I202" s="905"/>
      <c r="J202" s="914"/>
      <c r="K202" s="914"/>
      <c r="L202" s="655"/>
      <c r="M202" s="655"/>
      <c r="N202" s="896"/>
      <c r="O202" s="895"/>
      <c r="P202" s="886"/>
      <c r="Q202" s="886"/>
      <c r="R202" s="886"/>
      <c r="S202" s="671"/>
      <c r="T202" s="770" t="s">
        <v>34</v>
      </c>
      <c r="U202" s="770">
        <f>COUNTIF(D195:D214,"제")</f>
        <v>0</v>
      </c>
      <c r="V202" s="771">
        <f>COUNTIF(I195:I214,"제")</f>
        <v>0</v>
      </c>
      <c r="W202" s="770" t="s">
        <v>26</v>
      </c>
      <c r="X202" s="770">
        <f>SUMIF(D195:D214,"제",F195:F214)</f>
        <v>0</v>
      </c>
      <c r="Y202" s="771">
        <f>SUMIF(I195:I214,"제",K195:K214)</f>
        <v>0</v>
      </c>
      <c r="Z202" s="770">
        <f>COUNTIF(AJ195:AJ214,"제국")+COUNTIF(AJ195:AJ214,"제공")</f>
        <v>0</v>
      </c>
      <c r="AA202" s="771">
        <f>COUNTIF(AK195:AK214,"제국")+COUNTIF(AK195:AK214,"제공")</f>
        <v>0</v>
      </c>
      <c r="AB202" s="770" t="s">
        <v>26</v>
      </c>
      <c r="AC202" s="770">
        <f>SUMIF(AJ195:AJ214,"제국",F195:F214)+SUMIF(AJ195:AJ214,"제공",F195:F214)</f>
        <v>0</v>
      </c>
      <c r="AD202" s="771">
        <f>SUMIF(AK195:AK214,"제국",K195:K214)+SUMIF(AK195:AK214,"제공",K195:K214)</f>
        <v>0</v>
      </c>
      <c r="AE202" s="770">
        <f t="shared" si="57"/>
        <v>0</v>
      </c>
      <c r="AF202" s="771">
        <f t="shared" si="58"/>
        <v>0</v>
      </c>
      <c r="AG202" s="770" t="s">
        <v>26</v>
      </c>
      <c r="AH202" s="770">
        <f t="shared" si="59"/>
        <v>0</v>
      </c>
      <c r="AI202" s="771">
        <f t="shared" si="60"/>
        <v>0</v>
      </c>
      <c r="AJ202" s="770" t="str">
        <f t="shared" si="61"/>
        <v/>
      </c>
      <c r="AK202" s="770" t="str">
        <f t="shared" si="62"/>
        <v/>
      </c>
      <c r="AL202" s="772"/>
      <c r="AM202" s="772"/>
    </row>
    <row r="203" spans="1:39" s="773" customFormat="1" ht="24" hidden="1" customHeight="1" x14ac:dyDescent="0.15">
      <c r="A203" s="884">
        <v>189</v>
      </c>
      <c r="B203" s="654"/>
      <c r="C203" s="931"/>
      <c r="D203" s="931"/>
      <c r="E203" s="932"/>
      <c r="F203" s="932"/>
      <c r="G203" s="942"/>
      <c r="H203" s="905"/>
      <c r="I203" s="906"/>
      <c r="J203" s="944"/>
      <c r="K203" s="945"/>
      <c r="L203" s="946"/>
      <c r="M203" s="947"/>
      <c r="N203" s="948"/>
      <c r="O203" s="948"/>
      <c r="P203" s="655"/>
      <c r="Q203" s="655"/>
      <c r="R203" s="655"/>
      <c r="S203" s="671"/>
      <c r="T203" s="770" t="s">
        <v>46</v>
      </c>
      <c r="U203" s="770">
        <f>COUNTIF(D195:D214,"유")</f>
        <v>0</v>
      </c>
      <c r="V203" s="771">
        <f>COUNTIF(I195:I214,"유")</f>
        <v>0</v>
      </c>
      <c r="W203" s="770" t="s">
        <v>26</v>
      </c>
      <c r="X203" s="770">
        <f>SUMIF(D195:D214,"유",F195:F214)</f>
        <v>0</v>
      </c>
      <c r="Y203" s="771">
        <f>SUMIF(I195:I214,"유",K195:K214)</f>
        <v>0</v>
      </c>
      <c r="Z203" s="770">
        <f>COUNTIF(AJ195:AJ214,"유국")+COUNTIF(AJ195:AJ214,"유공")</f>
        <v>0</v>
      </c>
      <c r="AA203" s="771">
        <f>COUNTIF(AK195:AK214,"유국")+COUNTIF(AK195:AK214,"유공")</f>
        <v>0</v>
      </c>
      <c r="AB203" s="770" t="s">
        <v>26</v>
      </c>
      <c r="AC203" s="770">
        <f>SUMIF(AJ195:AJ214,"유국",F195:F214)+SUMIF(AJ195:AJ214,"유공",F195:F214)</f>
        <v>0</v>
      </c>
      <c r="AD203" s="771">
        <f>SUMIF(AK195:AK214,"유국",K195:K214)+SUMIF(AK195:AK214,"유공",K195:K214)</f>
        <v>0</v>
      </c>
      <c r="AE203" s="770">
        <f t="shared" si="57"/>
        <v>0</v>
      </c>
      <c r="AF203" s="771">
        <f t="shared" si="58"/>
        <v>0</v>
      </c>
      <c r="AG203" s="770" t="s">
        <v>26</v>
      </c>
      <c r="AH203" s="770">
        <f t="shared" si="59"/>
        <v>0</v>
      </c>
      <c r="AI203" s="771">
        <f t="shared" si="60"/>
        <v>0</v>
      </c>
      <c r="AJ203" s="770" t="str">
        <f t="shared" si="61"/>
        <v/>
      </c>
      <c r="AK203" s="770" t="str">
        <f t="shared" si="62"/>
        <v/>
      </c>
      <c r="AL203" s="772"/>
      <c r="AM203" s="772"/>
    </row>
    <row r="204" spans="1:39" s="773" customFormat="1" ht="24" hidden="1" customHeight="1" x14ac:dyDescent="0.15">
      <c r="A204" s="884">
        <v>190</v>
      </c>
      <c r="B204" s="654"/>
      <c r="C204" s="931"/>
      <c r="D204" s="931"/>
      <c r="E204" s="932"/>
      <c r="F204" s="932"/>
      <c r="G204" s="942"/>
      <c r="H204" s="905"/>
      <c r="I204" s="905"/>
      <c r="J204" s="942"/>
      <c r="K204" s="930"/>
      <c r="L204" s="949"/>
      <c r="M204" s="949"/>
      <c r="N204" s="950"/>
      <c r="O204" s="950"/>
      <c r="P204" s="655"/>
      <c r="Q204" s="655"/>
      <c r="R204" s="655"/>
      <c r="S204" s="671"/>
      <c r="T204" s="770" t="s">
        <v>47</v>
      </c>
      <c r="U204" s="770">
        <f>COUNTIF(D195:D214,"과")</f>
        <v>0</v>
      </c>
      <c r="V204" s="771">
        <f>COUNTIF(I195:I214,"과")</f>
        <v>0</v>
      </c>
      <c r="W204" s="770" t="s">
        <v>26</v>
      </c>
      <c r="X204" s="770">
        <f>SUMIF(D195:D214,"과",F195:F214)</f>
        <v>0</v>
      </c>
      <c r="Y204" s="771">
        <f>SUMIF(I195:I214,"과",K195:K214)</f>
        <v>0</v>
      </c>
      <c r="Z204" s="770">
        <f>COUNTIF(AJ195:AJ214,"과국")+COUNTIF(AJ195:AJ214,"과공")</f>
        <v>0</v>
      </c>
      <c r="AA204" s="771">
        <f>COUNTIF(AK195:AK214,"과국")+COUNTIF(AK195:AK214,"과공")</f>
        <v>0</v>
      </c>
      <c r="AB204" s="770" t="s">
        <v>26</v>
      </c>
      <c r="AC204" s="770">
        <f>SUMIF(AJ195:AJ214,"과국",F195:F214)+SUMIF(AJ195:AJ214,"과공",F195:F214)</f>
        <v>0</v>
      </c>
      <c r="AD204" s="771">
        <f>SUMIF(AK195:AK214,"과국",K195:K214)+SUMIF(AK195:AK214,"과공",K195:K214)</f>
        <v>0</v>
      </c>
      <c r="AE204" s="770">
        <f t="shared" si="57"/>
        <v>0</v>
      </c>
      <c r="AF204" s="771">
        <f t="shared" si="58"/>
        <v>0</v>
      </c>
      <c r="AG204" s="770" t="s">
        <v>26</v>
      </c>
      <c r="AH204" s="770">
        <f t="shared" si="59"/>
        <v>0</v>
      </c>
      <c r="AI204" s="771">
        <f t="shared" si="60"/>
        <v>0</v>
      </c>
      <c r="AJ204" s="770" t="str">
        <f t="shared" si="61"/>
        <v/>
      </c>
      <c r="AK204" s="770" t="str">
        <f t="shared" si="62"/>
        <v/>
      </c>
      <c r="AL204" s="772"/>
      <c r="AM204" s="772"/>
    </row>
    <row r="205" spans="1:39" s="773" customFormat="1" ht="24" hidden="1" customHeight="1" x14ac:dyDescent="0.15">
      <c r="A205" s="884">
        <v>191</v>
      </c>
      <c r="B205" s="654"/>
      <c r="C205" s="931"/>
      <c r="D205" s="931"/>
      <c r="E205" s="932"/>
      <c r="F205" s="932"/>
      <c r="G205" s="942"/>
      <c r="H205" s="905"/>
      <c r="I205" s="905"/>
      <c r="J205" s="942"/>
      <c r="K205" s="930"/>
      <c r="L205" s="949"/>
      <c r="M205" s="949"/>
      <c r="N205" s="950"/>
      <c r="O205" s="951"/>
      <c r="P205" s="655"/>
      <c r="Q205" s="655"/>
      <c r="R205" s="655"/>
      <c r="S205" s="671"/>
      <c r="T205" s="770" t="s">
        <v>36</v>
      </c>
      <c r="U205" s="770">
        <f>COUNTIF(D195:D214,"묘")</f>
        <v>0</v>
      </c>
      <c r="V205" s="771">
        <f>COUNTIF(I195:I214,"묘")</f>
        <v>0</v>
      </c>
      <c r="W205" s="770" t="s">
        <v>26</v>
      </c>
      <c r="X205" s="770">
        <f>SUMIF(D195:D214,"묘",F195:F214)</f>
        <v>0</v>
      </c>
      <c r="Y205" s="771">
        <f>SUMIF(I195:I214,"묘",K195:K214)</f>
        <v>0</v>
      </c>
      <c r="Z205" s="770">
        <f>COUNTIF(AJ195:AJ214,"묘국")+COUNTIF(AJ195:AJ214,"묘공")</f>
        <v>0</v>
      </c>
      <c r="AA205" s="771">
        <f>COUNTIF(AK195:AK214,"묘국")+COUNTIF(AK195:AK214,"묘공")</f>
        <v>0</v>
      </c>
      <c r="AB205" s="770" t="s">
        <v>26</v>
      </c>
      <c r="AC205" s="770">
        <f>SUMIF(AJ195:AJ214,"묘국",F195:F214)+SUMIF(AJ195:AJ214,"묘공",F195:F214)</f>
        <v>0</v>
      </c>
      <c r="AD205" s="771">
        <f>SUMIF(AK195:AK214,"묘국",K195:K214)+SUMIF(AK195:AK214,"묘공",K195:K214)</f>
        <v>0</v>
      </c>
      <c r="AE205" s="770">
        <f t="shared" si="57"/>
        <v>0</v>
      </c>
      <c r="AF205" s="771">
        <f t="shared" si="58"/>
        <v>0</v>
      </c>
      <c r="AG205" s="770" t="s">
        <v>26</v>
      </c>
      <c r="AH205" s="770">
        <f t="shared" si="59"/>
        <v>0</v>
      </c>
      <c r="AI205" s="771">
        <f t="shared" si="60"/>
        <v>0</v>
      </c>
      <c r="AJ205" s="770" t="str">
        <f t="shared" si="61"/>
        <v/>
      </c>
      <c r="AK205" s="770" t="str">
        <f t="shared" si="62"/>
        <v/>
      </c>
      <c r="AL205" s="772"/>
      <c r="AM205" s="772"/>
    </row>
    <row r="206" spans="1:39" s="773" customFormat="1" ht="24" hidden="1" customHeight="1" x14ac:dyDescent="0.15">
      <c r="A206" s="884">
        <v>192</v>
      </c>
      <c r="B206" s="654"/>
      <c r="C206" s="931"/>
      <c r="D206" s="931"/>
      <c r="E206" s="932"/>
      <c r="F206" s="932"/>
      <c r="G206" s="942"/>
      <c r="H206" s="905"/>
      <c r="I206" s="905"/>
      <c r="J206" s="942"/>
      <c r="K206" s="930"/>
      <c r="L206" s="949"/>
      <c r="M206" s="949"/>
      <c r="N206" s="950"/>
      <c r="O206" s="895"/>
      <c r="P206" s="655"/>
      <c r="Q206" s="655"/>
      <c r="R206" s="655"/>
      <c r="S206" s="671"/>
      <c r="T206" s="770" t="s">
        <v>39</v>
      </c>
      <c r="U206" s="770">
        <f>COUNTIF(D195:D214,"수")</f>
        <v>0</v>
      </c>
      <c r="V206" s="771">
        <f>COUNTIF(I195:I214,"수")</f>
        <v>0</v>
      </c>
      <c r="W206" s="770" t="s">
        <v>26</v>
      </c>
      <c r="X206" s="770">
        <f>SUMIF(D195:D214,"수",F195:F214)</f>
        <v>0</v>
      </c>
      <c r="Y206" s="771">
        <f>SUMIF(I195:I214,"수",K195:K214)</f>
        <v>0</v>
      </c>
      <c r="Z206" s="770">
        <f>COUNTIF(AJ195:AJ214,"수국")+COUNTIF(AJ195:AJ214,"수공")</f>
        <v>0</v>
      </c>
      <c r="AA206" s="771">
        <f>COUNTIF(AK195:AK214,"수국")+COUNTIF(AK195:AK214,"수공")</f>
        <v>0</v>
      </c>
      <c r="AB206" s="770" t="s">
        <v>26</v>
      </c>
      <c r="AC206" s="770">
        <f>SUMIF(AJ195:AJ214,"수국",F195:F214)+SUMIF(AJ195:AJ214,"수공",F195:F214)</f>
        <v>0</v>
      </c>
      <c r="AD206" s="771">
        <f>SUMIF(AK195:AK214,"수국",K195:K214)+SUMIF(AK195:AK214,"수공",K195:K214)</f>
        <v>0</v>
      </c>
      <c r="AE206" s="770">
        <f t="shared" si="57"/>
        <v>0</v>
      </c>
      <c r="AF206" s="771">
        <f t="shared" si="58"/>
        <v>0</v>
      </c>
      <c r="AG206" s="770" t="s">
        <v>26</v>
      </c>
      <c r="AH206" s="770">
        <f t="shared" si="59"/>
        <v>0</v>
      </c>
      <c r="AI206" s="771">
        <f t="shared" si="60"/>
        <v>0</v>
      </c>
      <c r="AJ206" s="770" t="str">
        <f t="shared" si="61"/>
        <v/>
      </c>
      <c r="AK206" s="770" t="str">
        <f t="shared" si="62"/>
        <v/>
      </c>
      <c r="AL206" s="772"/>
      <c r="AM206" s="772"/>
    </row>
    <row r="207" spans="1:39" s="773" customFormat="1" ht="24" hidden="1" customHeight="1" x14ac:dyDescent="0.15">
      <c r="A207" s="884">
        <v>193</v>
      </c>
      <c r="B207" s="654"/>
      <c r="C207" s="931"/>
      <c r="D207" s="931"/>
      <c r="E207" s="932"/>
      <c r="F207" s="932"/>
      <c r="G207" s="942"/>
      <c r="H207" s="905"/>
      <c r="I207" s="905"/>
      <c r="J207" s="942"/>
      <c r="K207" s="930"/>
      <c r="L207" s="949"/>
      <c r="M207" s="949"/>
      <c r="N207" s="950"/>
      <c r="O207" s="950"/>
      <c r="P207" s="886"/>
      <c r="Q207" s="886"/>
      <c r="R207" s="886"/>
      <c r="S207" s="671"/>
      <c r="T207" s="770" t="s">
        <v>35</v>
      </c>
      <c r="U207" s="770">
        <f>COUNTIF(D195:D214,"잡")</f>
        <v>0</v>
      </c>
      <c r="V207" s="771">
        <f>COUNTIF(I195:I214,"잡")</f>
        <v>0</v>
      </c>
      <c r="W207" s="770" t="s">
        <v>26</v>
      </c>
      <c r="X207" s="770">
        <f>SUMIF(D195:D214,"잡",F195:F214)</f>
        <v>0</v>
      </c>
      <c r="Y207" s="771">
        <f>SUMIF(I195:I214,"잡",K195:K214)</f>
        <v>0</v>
      </c>
      <c r="Z207" s="770">
        <f>COUNTIF(AJ195:AJ214,"잡국")+COUNTIF(AJ195:AJ214,"잡공")</f>
        <v>0</v>
      </c>
      <c r="AA207" s="771">
        <f>COUNTIF(AK195:AK214,"잡국")+COUNTIF(AK195:AK214,"잡공")</f>
        <v>0</v>
      </c>
      <c r="AB207" s="770" t="s">
        <v>26</v>
      </c>
      <c r="AC207" s="770">
        <f>SUMIF(AJ195:AJ214,"잡국",F195:F214)+SUMIF(AJ195:AJ214,"잡공",F195:F214)</f>
        <v>0</v>
      </c>
      <c r="AD207" s="771">
        <f>SUMIF(AK195:AK214,"잡국",K195:K214)+SUMIF(AK195:AK214,"잡공",K195:K214)</f>
        <v>0</v>
      </c>
      <c r="AE207" s="770">
        <f t="shared" si="57"/>
        <v>0</v>
      </c>
      <c r="AF207" s="771">
        <f t="shared" si="58"/>
        <v>0</v>
      </c>
      <c r="AG207" s="770" t="s">
        <v>26</v>
      </c>
      <c r="AH207" s="770">
        <f t="shared" si="59"/>
        <v>0</v>
      </c>
      <c r="AI207" s="771">
        <f t="shared" si="60"/>
        <v>0</v>
      </c>
      <c r="AJ207" s="770" t="str">
        <f t="shared" si="61"/>
        <v/>
      </c>
      <c r="AK207" s="770" t="str">
        <f t="shared" si="62"/>
        <v/>
      </c>
      <c r="AL207" s="772"/>
      <c r="AM207" s="772"/>
    </row>
    <row r="208" spans="1:39" s="773" customFormat="1" ht="24" hidden="1" customHeight="1" x14ac:dyDescent="0.15">
      <c r="A208" s="884">
        <v>194</v>
      </c>
      <c r="B208" s="654"/>
      <c r="C208" s="931"/>
      <c r="D208" s="931"/>
      <c r="E208" s="932"/>
      <c r="F208" s="932"/>
      <c r="G208" s="942"/>
      <c r="H208" s="905"/>
      <c r="I208" s="905"/>
      <c r="J208" s="942"/>
      <c r="K208" s="930"/>
      <c r="L208" s="949"/>
      <c r="M208" s="949"/>
      <c r="N208" s="950"/>
      <c r="O208" s="950"/>
      <c r="P208" s="655"/>
      <c r="Q208" s="655"/>
      <c r="R208" s="655"/>
      <c r="S208" s="671"/>
      <c r="T208" s="770" t="s">
        <v>51</v>
      </c>
      <c r="U208" s="770">
        <f>COUNTIF(D195:D214,"체")</f>
        <v>0</v>
      </c>
      <c r="V208" s="771">
        <f>COUNTIF(I195:I214,"체")</f>
        <v>0</v>
      </c>
      <c r="W208" s="770" t="s">
        <v>26</v>
      </c>
      <c r="X208" s="770">
        <f>SUMIF(D195:D214,"체",F195:F214)</f>
        <v>0</v>
      </c>
      <c r="Y208" s="771">
        <f>SUMIF(I195:I214,"체",K195:K214)</f>
        <v>0</v>
      </c>
      <c r="Z208" s="770">
        <f>COUNTIF(AJ195:AJ214,"체국")+COUNTIF(AJ195:AJ214,"체공")</f>
        <v>0</v>
      </c>
      <c r="AA208" s="771">
        <f>COUNTIF(AK195:AK214,"체국")+COUNTIF(AK195:AK214,"체공")</f>
        <v>0</v>
      </c>
      <c r="AB208" s="770" t="s">
        <v>26</v>
      </c>
      <c r="AC208" s="770">
        <f>SUMIF(AJ195:AJ214,"체국",F195:F214)+SUMIF(AJ195:AJ214,"체공",F195:F214)</f>
        <v>0</v>
      </c>
      <c r="AD208" s="771">
        <f>SUMIF(AK195:AK214,"체국",K195:K214)+SUMIF(AK195:AK214,"체공",K195:K214)</f>
        <v>0</v>
      </c>
      <c r="AE208" s="770">
        <f t="shared" si="57"/>
        <v>0</v>
      </c>
      <c r="AF208" s="771">
        <f t="shared" si="58"/>
        <v>0</v>
      </c>
      <c r="AG208" s="770" t="s">
        <v>26</v>
      </c>
      <c r="AH208" s="770">
        <f t="shared" si="59"/>
        <v>0</v>
      </c>
      <c r="AI208" s="771">
        <f t="shared" si="60"/>
        <v>0</v>
      </c>
      <c r="AJ208" s="770" t="str">
        <f t="shared" si="61"/>
        <v/>
      </c>
      <c r="AK208" s="770" t="str">
        <f t="shared" si="62"/>
        <v/>
      </c>
      <c r="AL208" s="772"/>
      <c r="AM208" s="772"/>
    </row>
    <row r="209" spans="1:39" s="773" customFormat="1" ht="24" hidden="1" customHeight="1" x14ac:dyDescent="0.15">
      <c r="A209" s="884">
        <v>195</v>
      </c>
      <c r="B209" s="654"/>
      <c r="C209" s="931"/>
      <c r="D209" s="931"/>
      <c r="E209" s="932"/>
      <c r="F209" s="932"/>
      <c r="G209" s="942"/>
      <c r="H209" s="905"/>
      <c r="I209" s="905"/>
      <c r="J209" s="942"/>
      <c r="K209" s="930"/>
      <c r="L209" s="949"/>
      <c r="M209" s="949"/>
      <c r="N209" s="950"/>
      <c r="O209" s="950"/>
      <c r="P209" s="655"/>
      <c r="Q209" s="655"/>
      <c r="R209" s="655"/>
      <c r="S209" s="671"/>
      <c r="T209" s="770" t="s">
        <v>50</v>
      </c>
      <c r="U209" s="770">
        <f>COUNTIF(D195:D214,"공")</f>
        <v>0</v>
      </c>
      <c r="V209" s="771">
        <f>COUNTIF(I195:I214,"공")</f>
        <v>0</v>
      </c>
      <c r="W209" s="770" t="s">
        <v>26</v>
      </c>
      <c r="X209" s="770">
        <f>SUMIF(D195:D214,"공",F195:F214)</f>
        <v>0</v>
      </c>
      <c r="Y209" s="771">
        <f>SUMIF(I195:I214,"공",K195:K214)</f>
        <v>0</v>
      </c>
      <c r="Z209" s="770">
        <f>COUNTIF(AJ195:AJ214,"공국")+COUNTIF(AJ195:AJ214,"공공")</f>
        <v>0</v>
      </c>
      <c r="AA209" s="771">
        <f>COUNTIF(AK195:AK214,"공국")+COUNTIF(AK195:AK214,"공공")</f>
        <v>0</v>
      </c>
      <c r="AB209" s="770" t="s">
        <v>26</v>
      </c>
      <c r="AC209" s="770">
        <f>SUMIF(AJ195:AJ214,"공국",F195:F214)+SUMIF(AJ195:AJ214,"공공",F195:F214)</f>
        <v>0</v>
      </c>
      <c r="AD209" s="771">
        <f>SUMIF(AK195:AK214,"공국",K195:K214)+SUMIF(AK195:AK214,"공공",K195:K214)</f>
        <v>0</v>
      </c>
      <c r="AE209" s="770">
        <f t="shared" si="57"/>
        <v>0</v>
      </c>
      <c r="AF209" s="771">
        <f t="shared" si="58"/>
        <v>0</v>
      </c>
      <c r="AG209" s="770" t="s">
        <v>26</v>
      </c>
      <c r="AH209" s="770">
        <f t="shared" si="59"/>
        <v>0</v>
      </c>
      <c r="AI209" s="771">
        <f t="shared" si="60"/>
        <v>0</v>
      </c>
      <c r="AJ209" s="770" t="str">
        <f t="shared" si="61"/>
        <v/>
      </c>
      <c r="AK209" s="770" t="str">
        <f t="shared" si="62"/>
        <v/>
      </c>
      <c r="AL209" s="772"/>
      <c r="AM209" s="772"/>
    </row>
    <row r="210" spans="1:39" s="773" customFormat="1" ht="24" hidden="1" customHeight="1" x14ac:dyDescent="0.15">
      <c r="A210" s="884">
        <v>196</v>
      </c>
      <c r="B210" s="654"/>
      <c r="C210" s="931"/>
      <c r="D210" s="931"/>
      <c r="E210" s="932"/>
      <c r="F210" s="932"/>
      <c r="G210" s="942"/>
      <c r="H210" s="905"/>
      <c r="I210" s="905"/>
      <c r="J210" s="942"/>
      <c r="K210" s="930"/>
      <c r="L210" s="949"/>
      <c r="M210" s="949"/>
      <c r="N210" s="950"/>
      <c r="O210" s="950"/>
      <c r="P210" s="886"/>
      <c r="Q210" s="886"/>
      <c r="R210" s="886"/>
      <c r="S210" s="671"/>
      <c r="T210" s="791" t="s">
        <v>40</v>
      </c>
      <c r="U210" s="770">
        <f>COUNTIF(D195:D214,"장")</f>
        <v>0</v>
      </c>
      <c r="V210" s="771">
        <f>COUNTIF(I195:I214,"장")</f>
        <v>0</v>
      </c>
      <c r="W210" s="770" t="s">
        <v>26</v>
      </c>
      <c r="X210" s="770">
        <f>SUMIF(D195:D214,"장",F195:F214)</f>
        <v>0</v>
      </c>
      <c r="Y210" s="771">
        <f>SUMIF(I195:I214,"장",K195:K214)</f>
        <v>0</v>
      </c>
      <c r="Z210" s="770">
        <f>COUNTIF(AJ195:AJ214,"장국")+COUNTIF(AJ195:AJ214,"장공")</f>
        <v>0</v>
      </c>
      <c r="AA210" s="771">
        <f>COUNTIF(AK195:AK214,"장국")+COUNTIF(AK195:AK214,"장공")</f>
        <v>0</v>
      </c>
      <c r="AB210" s="770" t="s">
        <v>26</v>
      </c>
      <c r="AC210" s="770">
        <f>SUMIF(AJ195:AJ214,"장국",F195:F214)+SUMIF(AJ195:AJ214,"장공",F195:F214)</f>
        <v>0</v>
      </c>
      <c r="AD210" s="771">
        <f>SUMIF(AK195:AK214,"장국",K195:K214)+SUMIF(AK195:AK214,"장공",K195:K214)</f>
        <v>0</v>
      </c>
      <c r="AE210" s="770">
        <f t="shared" si="57"/>
        <v>0</v>
      </c>
      <c r="AF210" s="771">
        <f t="shared" si="58"/>
        <v>0</v>
      </c>
      <c r="AG210" s="770" t="s">
        <v>26</v>
      </c>
      <c r="AH210" s="770">
        <f t="shared" si="59"/>
        <v>0</v>
      </c>
      <c r="AI210" s="771">
        <f t="shared" si="60"/>
        <v>0</v>
      </c>
      <c r="AJ210" s="770" t="str">
        <f t="shared" si="61"/>
        <v/>
      </c>
      <c r="AK210" s="770" t="str">
        <f t="shared" si="62"/>
        <v/>
      </c>
      <c r="AL210" s="772"/>
      <c r="AM210" s="772"/>
    </row>
    <row r="211" spans="1:39" s="773" customFormat="1" ht="24" hidden="1" customHeight="1" x14ac:dyDescent="0.15">
      <c r="A211" s="884">
        <v>197</v>
      </c>
      <c r="B211" s="654"/>
      <c r="C211" s="931"/>
      <c r="D211" s="931"/>
      <c r="E211" s="932"/>
      <c r="F211" s="932"/>
      <c r="G211" s="942"/>
      <c r="H211" s="905"/>
      <c r="I211" s="905"/>
      <c r="J211" s="942"/>
      <c r="K211" s="930"/>
      <c r="L211" s="949"/>
      <c r="M211" s="952"/>
      <c r="N211" s="950"/>
      <c r="O211" s="950"/>
      <c r="P211" s="655"/>
      <c r="Q211" s="655"/>
      <c r="R211" s="655"/>
      <c r="S211" s="671"/>
      <c r="T211" s="791" t="s">
        <v>79</v>
      </c>
      <c r="U211" s="770">
        <f>COUNTIF(D195:D214,"목")</f>
        <v>0</v>
      </c>
      <c r="V211" s="771">
        <f>COUNTIF(I195:I214,"목")</f>
        <v>0</v>
      </c>
      <c r="W211" s="770" t="s">
        <v>26</v>
      </c>
      <c r="X211" s="770">
        <f>SUMIF(D195:D214,"목",F195:F214)</f>
        <v>0</v>
      </c>
      <c r="Y211" s="771">
        <f>SUMIF(I195:I214,"목",K195:K214)</f>
        <v>0</v>
      </c>
      <c r="Z211" s="770">
        <f>COUNTIF(AJ195:AJ214,"목국")+COUNTIF(AJ195:AJ214,"목공")</f>
        <v>0</v>
      </c>
      <c r="AA211" s="771">
        <f>COUNTIF(AK195:AK214,"목국")+COUNTIF(AK195:AK214,"목공")</f>
        <v>0</v>
      </c>
      <c r="AB211" s="770" t="s">
        <v>26</v>
      </c>
      <c r="AC211" s="770">
        <f>SUMIF(AJ195:AJ214,"목국",F195:F214)+SUMIF(AJ195:AJ214,"목공",F195:F214)</f>
        <v>0</v>
      </c>
      <c r="AD211" s="771">
        <f>SUMIF(AK195:AK214,"목국",K195:K214)+SUMIF(AK195:AK214,"목공",K195:K214)</f>
        <v>0</v>
      </c>
      <c r="AE211" s="770">
        <f t="shared" si="57"/>
        <v>0</v>
      </c>
      <c r="AF211" s="771">
        <f t="shared" si="58"/>
        <v>0</v>
      </c>
      <c r="AG211" s="770" t="s">
        <v>26</v>
      </c>
      <c r="AH211" s="770">
        <f t="shared" si="59"/>
        <v>0</v>
      </c>
      <c r="AI211" s="771">
        <f t="shared" si="60"/>
        <v>0</v>
      </c>
      <c r="AJ211" s="770" t="str">
        <f t="shared" si="61"/>
        <v/>
      </c>
      <c r="AK211" s="770" t="str">
        <f t="shared" si="62"/>
        <v/>
      </c>
      <c r="AL211" s="772"/>
      <c r="AM211" s="772"/>
    </row>
    <row r="212" spans="1:39" s="773" customFormat="1" ht="24" hidden="1" customHeight="1" x14ac:dyDescent="0.15">
      <c r="A212" s="884">
        <v>198</v>
      </c>
      <c r="B212" s="654"/>
      <c r="C212" s="931"/>
      <c r="D212" s="931"/>
      <c r="E212" s="932"/>
      <c r="F212" s="932"/>
      <c r="G212" s="942"/>
      <c r="H212" s="905"/>
      <c r="I212" s="905"/>
      <c r="J212" s="942"/>
      <c r="K212" s="930"/>
      <c r="L212" s="949"/>
      <c r="M212" s="949"/>
      <c r="N212" s="950"/>
      <c r="O212" s="950"/>
      <c r="P212" s="655"/>
      <c r="Q212" s="655"/>
      <c r="R212" s="655"/>
      <c r="S212" s="671"/>
      <c r="T212" s="791"/>
      <c r="U212" s="791"/>
      <c r="V212" s="792"/>
      <c r="W212" s="791"/>
      <c r="X212" s="791"/>
      <c r="Y212" s="792"/>
      <c r="Z212" s="770"/>
      <c r="AA212" s="771"/>
      <c r="AB212" s="791"/>
      <c r="AC212" s="770"/>
      <c r="AD212" s="771"/>
      <c r="AE212" s="791"/>
      <c r="AF212" s="792"/>
      <c r="AG212" s="791"/>
      <c r="AH212" s="791"/>
      <c r="AI212" s="792"/>
      <c r="AJ212" s="770" t="str">
        <f t="shared" si="61"/>
        <v/>
      </c>
      <c r="AK212" s="770" t="str">
        <f t="shared" si="62"/>
        <v/>
      </c>
      <c r="AL212" s="772"/>
      <c r="AM212" s="772"/>
    </row>
    <row r="213" spans="1:39" s="773" customFormat="1" ht="24" hidden="1" customHeight="1" x14ac:dyDescent="0.15">
      <c r="A213" s="884">
        <v>199</v>
      </c>
      <c r="B213" s="654"/>
      <c r="C213" s="931"/>
      <c r="D213" s="931"/>
      <c r="E213" s="932"/>
      <c r="F213" s="932"/>
      <c r="G213" s="943"/>
      <c r="H213" s="905"/>
      <c r="I213" s="905"/>
      <c r="J213" s="943"/>
      <c r="K213" s="930"/>
      <c r="L213" s="949"/>
      <c r="M213" s="949"/>
      <c r="N213" s="950"/>
      <c r="O213" s="950"/>
      <c r="P213" s="886"/>
      <c r="Q213" s="886"/>
      <c r="R213" s="886"/>
      <c r="S213" s="671"/>
      <c r="T213" s="791"/>
      <c r="U213" s="791"/>
      <c r="V213" s="792"/>
      <c r="W213" s="791"/>
      <c r="X213" s="791"/>
      <c r="Y213" s="792"/>
      <c r="Z213" s="770"/>
      <c r="AA213" s="771"/>
      <c r="AB213" s="791"/>
      <c r="AC213" s="770"/>
      <c r="AD213" s="771"/>
      <c r="AE213" s="791"/>
      <c r="AF213" s="792"/>
      <c r="AG213" s="791"/>
      <c r="AH213" s="791"/>
      <c r="AI213" s="792"/>
      <c r="AJ213" s="770" t="str">
        <f t="shared" si="61"/>
        <v/>
      </c>
      <c r="AK213" s="770" t="str">
        <f t="shared" si="62"/>
        <v/>
      </c>
      <c r="AL213" s="772"/>
      <c r="AM213" s="772"/>
    </row>
    <row r="214" spans="1:39" s="773" customFormat="1" ht="24" hidden="1" customHeight="1" x14ac:dyDescent="0.15">
      <c r="A214" s="884">
        <v>200</v>
      </c>
      <c r="B214" s="654"/>
      <c r="C214" s="953"/>
      <c r="D214" s="953"/>
      <c r="E214" s="868"/>
      <c r="F214" s="868"/>
      <c r="G214" s="943"/>
      <c r="H214" s="905"/>
      <c r="I214" s="905"/>
      <c r="J214" s="943"/>
      <c r="K214" s="930"/>
      <c r="L214" s="949"/>
      <c r="M214" s="949"/>
      <c r="N214" s="950"/>
      <c r="O214" s="950"/>
      <c r="P214" s="655"/>
      <c r="Q214" s="655"/>
      <c r="R214" s="655"/>
      <c r="S214" s="671"/>
      <c r="T214" s="794" t="s">
        <v>37</v>
      </c>
      <c r="U214" s="794">
        <f>COUNTIF(D195:D214,"철")</f>
        <v>0</v>
      </c>
      <c r="V214" s="795">
        <f>COUNTIF(I195:I214,"철")</f>
        <v>0</v>
      </c>
      <c r="W214" s="794" t="s">
        <v>26</v>
      </c>
      <c r="X214" s="794">
        <f>SUMIF(D195:D214,"철",F195:F214)</f>
        <v>0</v>
      </c>
      <c r="Y214" s="795">
        <f>SUMIF(I195:I214,"철",K195:K214)</f>
        <v>0</v>
      </c>
      <c r="Z214" s="770">
        <f>COUNTIF(AJ195:AJ214,"철국")+COUNTIF(AJ195:AJ214,"철공")</f>
        <v>0</v>
      </c>
      <c r="AA214" s="771">
        <f>COUNTIF(AK195:AK214,"철국")+COUNTIF(AK195:AK214,"철공")</f>
        <v>0</v>
      </c>
      <c r="AB214" s="794" t="s">
        <v>26</v>
      </c>
      <c r="AC214" s="770">
        <f>SUMIF(AJ195:AJ214,"철국",F195:F214)+SUMIF(AJ195:AJ214,"철공",F195:F214)</f>
        <v>0</v>
      </c>
      <c r="AD214" s="771">
        <f>SUMIF(AK195:AK214,"철국",K195:K214)+SUMIF(AK195:AK214,"철공",K195:K214)</f>
        <v>0</v>
      </c>
      <c r="AE214" s="794"/>
      <c r="AF214" s="795"/>
      <c r="AG214" s="794"/>
      <c r="AH214" s="794"/>
      <c r="AI214" s="795"/>
      <c r="AJ214" s="770" t="str">
        <f t="shared" si="61"/>
        <v/>
      </c>
      <c r="AK214" s="770" t="str">
        <f t="shared" si="62"/>
        <v/>
      </c>
      <c r="AL214" s="772"/>
      <c r="AM214" s="772"/>
    </row>
    <row r="215" spans="1:39" s="755" customFormat="1" ht="24" hidden="1" customHeight="1" thickBot="1" x14ac:dyDescent="0.2">
      <c r="A215" s="796" t="s">
        <v>48</v>
      </c>
      <c r="B215" s="797"/>
      <c r="C215" s="797"/>
      <c r="D215" s="797"/>
      <c r="E215" s="935"/>
      <c r="F215" s="798">
        <f>SUM(F195:F214)</f>
        <v>0</v>
      </c>
      <c r="G215" s="799"/>
      <c r="H215" s="799"/>
      <c r="I215" s="827"/>
      <c r="J215" s="936"/>
      <c r="K215" s="829">
        <f>SUM(K195:K214)</f>
        <v>0</v>
      </c>
      <c r="L215" s="803"/>
      <c r="M215" s="803"/>
      <c r="N215" s="803"/>
      <c r="O215" s="803"/>
      <c r="P215" s="803"/>
      <c r="Q215" s="803"/>
      <c r="R215" s="803"/>
      <c r="S215" s="805"/>
      <c r="T215" s="806" t="s">
        <v>24</v>
      </c>
      <c r="U215" s="807">
        <f t="shared" ref="U215:AA215" si="63">SUM(U195:U214)</f>
        <v>0</v>
      </c>
      <c r="V215" s="807">
        <f t="shared" si="63"/>
        <v>0</v>
      </c>
      <c r="W215" s="807">
        <f t="shared" si="63"/>
        <v>0</v>
      </c>
      <c r="X215" s="807">
        <f t="shared" si="63"/>
        <v>0</v>
      </c>
      <c r="Y215" s="807">
        <f t="shared" si="63"/>
        <v>0</v>
      </c>
      <c r="Z215" s="822">
        <f t="shared" si="63"/>
        <v>0</v>
      </c>
      <c r="AA215" s="823">
        <f t="shared" si="63"/>
        <v>0</v>
      </c>
      <c r="AB215" s="822" t="s">
        <v>26</v>
      </c>
      <c r="AC215" s="822">
        <f>SUM(AC195:AC214)</f>
        <v>0</v>
      </c>
      <c r="AD215" s="823">
        <f>SUM(AD195:AD214)</f>
        <v>0</v>
      </c>
      <c r="AE215" s="807">
        <f>SUM(AE195:AE214)</f>
        <v>0</v>
      </c>
      <c r="AF215" s="807">
        <f>SUM(AF195:AF214)</f>
        <v>0</v>
      </c>
      <c r="AG215" s="807" t="s">
        <v>26</v>
      </c>
      <c r="AH215" s="807">
        <f>SUM(AH195:AH214)</f>
        <v>0</v>
      </c>
      <c r="AI215" s="807">
        <f>SUM(AI195:AI214)</f>
        <v>0</v>
      </c>
      <c r="AJ215" s="807"/>
      <c r="AK215" s="770" t="str">
        <f t="shared" si="62"/>
        <v/>
      </c>
    </row>
    <row r="216" spans="1:39" s="773" customFormat="1" ht="24" hidden="1" customHeight="1" x14ac:dyDescent="0.15">
      <c r="A216" s="877">
        <v>201</v>
      </c>
      <c r="B216" s="878"/>
      <c r="C216" s="937"/>
      <c r="D216" s="937"/>
      <c r="E216" s="938"/>
      <c r="F216" s="938"/>
      <c r="G216" s="954"/>
      <c r="H216" s="917"/>
      <c r="I216" s="917"/>
      <c r="J216" s="954"/>
      <c r="K216" s="939"/>
      <c r="L216" s="955"/>
      <c r="M216" s="955"/>
      <c r="N216" s="956"/>
      <c r="O216" s="956"/>
      <c r="P216" s="882"/>
      <c r="Q216" s="882"/>
      <c r="R216" s="882"/>
      <c r="S216" s="940"/>
      <c r="T216" s="770" t="s">
        <v>27</v>
      </c>
      <c r="U216" s="770">
        <f>COUNTIF(D216:D235,"전")</f>
        <v>0</v>
      </c>
      <c r="V216" s="771">
        <f>COUNTIF(I216:I235,"전")</f>
        <v>0</v>
      </c>
      <c r="W216" s="770" t="s">
        <v>26</v>
      </c>
      <c r="X216" s="770">
        <f>SUMIF(D216:D235,"전",F216:F235)</f>
        <v>0</v>
      </c>
      <c r="Y216" s="771">
        <f>SUMIF(I216:I235,"전",K216:K235)</f>
        <v>0</v>
      </c>
      <c r="Z216" s="770">
        <f>COUNTIF(AJ216:AJ235,"전국")+COUNTIF(AJ216:AJ235,"전공")</f>
        <v>0</v>
      </c>
      <c r="AA216" s="771">
        <f>COUNTIF(AK216:AK235,"전국")+COUNTIF(AK216:AK235,"전공")</f>
        <v>0</v>
      </c>
      <c r="AB216" s="770" t="s">
        <v>26</v>
      </c>
      <c r="AC216" s="770">
        <f>SUMIF(AJ216:AJ235,"전국",F216:F235)+SUMIF(AJ216:AJ235,"전공",F216:F235)</f>
        <v>0</v>
      </c>
      <c r="AD216" s="771">
        <f>SUMIF(AK216:AK235,"전국",K216:K235)+SUMIF(AK216:AK235,"전공",K216:K235)</f>
        <v>0</v>
      </c>
      <c r="AE216" s="770">
        <f t="shared" ref="AE216:AE232" si="64">U216-Z216</f>
        <v>0</v>
      </c>
      <c r="AF216" s="771">
        <f t="shared" ref="AF216:AF232" si="65">V216-AA216</f>
        <v>0</v>
      </c>
      <c r="AG216" s="770" t="s">
        <v>26</v>
      </c>
      <c r="AH216" s="770">
        <f t="shared" ref="AH216:AH232" si="66">X216-AC216</f>
        <v>0</v>
      </c>
      <c r="AI216" s="771">
        <f t="shared" ref="AI216:AI232" si="67">Y216-AD216</f>
        <v>0</v>
      </c>
      <c r="AJ216" s="770" t="str">
        <f t="shared" ref="AJ216:AJ235" si="68">CONCATENATE(D216,L216)</f>
        <v/>
      </c>
      <c r="AK216" s="770" t="str">
        <f t="shared" ref="AK216:AK235" si="69">CONCATENATE(I216,L216)</f>
        <v/>
      </c>
      <c r="AL216" s="772"/>
      <c r="AM216" s="772"/>
    </row>
    <row r="217" spans="1:39" s="773" customFormat="1" ht="24" hidden="1" customHeight="1" x14ac:dyDescent="0.15">
      <c r="A217" s="884">
        <v>202</v>
      </c>
      <c r="B217" s="654"/>
      <c r="C217" s="931"/>
      <c r="D217" s="931"/>
      <c r="E217" s="932"/>
      <c r="F217" s="932"/>
      <c r="G217" s="942"/>
      <c r="H217" s="905"/>
      <c r="I217" s="905"/>
      <c r="J217" s="942"/>
      <c r="K217" s="930"/>
      <c r="L217" s="949"/>
      <c r="M217" s="949"/>
      <c r="N217" s="950"/>
      <c r="O217" s="950"/>
      <c r="P217" s="886"/>
      <c r="Q217" s="886"/>
      <c r="R217" s="886"/>
      <c r="S217" s="671"/>
      <c r="T217" s="770" t="s">
        <v>28</v>
      </c>
      <c r="U217" s="770">
        <f>COUNTIF(D216:D235,"답")</f>
        <v>0</v>
      </c>
      <c r="V217" s="771">
        <f>COUNTIF(I216:I235,"답")</f>
        <v>0</v>
      </c>
      <c r="W217" s="770" t="s">
        <v>26</v>
      </c>
      <c r="X217" s="770">
        <f>SUMIF(D216:D235,"답",F216:F235)</f>
        <v>0</v>
      </c>
      <c r="Y217" s="771">
        <f>SUMIF(I216:I235,"답",K216:K235)</f>
        <v>0</v>
      </c>
      <c r="Z217" s="770">
        <f>COUNTIF(AJ216:AJ235,"답국")+COUNTIF(AJ216:AJ235,"답공")</f>
        <v>0</v>
      </c>
      <c r="AA217" s="771">
        <f>COUNTIF(AK216:AK235,"답국")+COUNTIF(AK216:AK235,"답공")</f>
        <v>0</v>
      </c>
      <c r="AB217" s="770" t="s">
        <v>26</v>
      </c>
      <c r="AC217" s="770">
        <f>SUMIF(AJ216:AJ235,"답국",F216:F235)+SUMIF(AJ216:AJ235,"답공",F216:F235)</f>
        <v>0</v>
      </c>
      <c r="AD217" s="771">
        <f>SUMIF(AK216:AK235,"답국",K216:K235)+SUMIF(AK216:AK235,"답공",K216:K235)</f>
        <v>0</v>
      </c>
      <c r="AE217" s="770">
        <f t="shared" si="64"/>
        <v>0</v>
      </c>
      <c r="AF217" s="771">
        <f t="shared" si="65"/>
        <v>0</v>
      </c>
      <c r="AG217" s="770" t="s">
        <v>26</v>
      </c>
      <c r="AH217" s="770">
        <f t="shared" si="66"/>
        <v>0</v>
      </c>
      <c r="AI217" s="771">
        <f t="shared" si="67"/>
        <v>0</v>
      </c>
      <c r="AJ217" s="770" t="str">
        <f t="shared" si="68"/>
        <v/>
      </c>
      <c r="AK217" s="770" t="str">
        <f t="shared" si="69"/>
        <v/>
      </c>
      <c r="AL217" s="772"/>
      <c r="AM217" s="772"/>
    </row>
    <row r="218" spans="1:39" s="773" customFormat="1" ht="24" hidden="1" customHeight="1" x14ac:dyDescent="0.15">
      <c r="A218" s="884">
        <v>203</v>
      </c>
      <c r="B218" s="654"/>
      <c r="C218" s="931"/>
      <c r="D218" s="931"/>
      <c r="E218" s="932"/>
      <c r="F218" s="932"/>
      <c r="G218" s="942"/>
      <c r="H218" s="905"/>
      <c r="I218" s="905"/>
      <c r="J218" s="942"/>
      <c r="K218" s="930"/>
      <c r="L218" s="949"/>
      <c r="M218" s="949"/>
      <c r="N218" s="950"/>
      <c r="O218" s="950"/>
      <c r="P218" s="655"/>
      <c r="Q218" s="655"/>
      <c r="R218" s="655"/>
      <c r="S218" s="671"/>
      <c r="T218" s="770" t="s">
        <v>44</v>
      </c>
      <c r="U218" s="770">
        <f>COUNTIF(D216:D235,"임")</f>
        <v>0</v>
      </c>
      <c r="V218" s="771">
        <f>COUNTIF(I216:I235,"임")</f>
        <v>0</v>
      </c>
      <c r="W218" s="770" t="s">
        <v>26</v>
      </c>
      <c r="X218" s="770">
        <f>SUMIF(D216:D235,"임",F216:F235)</f>
        <v>0</v>
      </c>
      <c r="Y218" s="771">
        <f>SUMIF(I216:I235,"임",K216:K235)</f>
        <v>0</v>
      </c>
      <c r="Z218" s="770">
        <f>COUNTIF(AJ216:AJ235,"임국")+COUNTIF(AJ216:AJ235,"임공")</f>
        <v>0</v>
      </c>
      <c r="AA218" s="771">
        <f>COUNTIF(AK216:AK235,"임국")+COUNTIF(AK216:AK235,"임공")</f>
        <v>0</v>
      </c>
      <c r="AB218" s="770" t="s">
        <v>26</v>
      </c>
      <c r="AC218" s="770">
        <f>SUMIF(AJ216:AJ235,"임국",F216:F235)+SUMIF(AJ216:AJ235,"임공",F216:F235)</f>
        <v>0</v>
      </c>
      <c r="AD218" s="771">
        <f>SUMIF(AK216:AK235,"임국",K216:K235)+SUMIF(AK216:AK235,"임공",K216:K235)</f>
        <v>0</v>
      </c>
      <c r="AE218" s="770">
        <f t="shared" si="64"/>
        <v>0</v>
      </c>
      <c r="AF218" s="771">
        <f t="shared" si="65"/>
        <v>0</v>
      </c>
      <c r="AG218" s="770" t="s">
        <v>26</v>
      </c>
      <c r="AH218" s="770">
        <f t="shared" si="66"/>
        <v>0</v>
      </c>
      <c r="AI218" s="771">
        <f t="shared" si="67"/>
        <v>0</v>
      </c>
      <c r="AJ218" s="770" t="str">
        <f t="shared" si="68"/>
        <v/>
      </c>
      <c r="AK218" s="770" t="str">
        <f t="shared" si="69"/>
        <v/>
      </c>
      <c r="AL218" s="772"/>
      <c r="AM218" s="772"/>
    </row>
    <row r="219" spans="1:39" s="773" customFormat="1" ht="24" hidden="1" customHeight="1" x14ac:dyDescent="0.15">
      <c r="A219" s="884">
        <v>204</v>
      </c>
      <c r="B219" s="654"/>
      <c r="C219" s="931"/>
      <c r="D219" s="931"/>
      <c r="E219" s="932"/>
      <c r="F219" s="932"/>
      <c r="G219" s="943"/>
      <c r="H219" s="905"/>
      <c r="I219" s="905"/>
      <c r="J219" s="943"/>
      <c r="K219" s="930"/>
      <c r="L219" s="949"/>
      <c r="M219" s="949"/>
      <c r="N219" s="950"/>
      <c r="O219" s="950"/>
      <c r="P219" s="655"/>
      <c r="Q219" s="655"/>
      <c r="R219" s="655"/>
      <c r="S219" s="671"/>
      <c r="T219" s="770" t="s">
        <v>45</v>
      </c>
      <c r="U219" s="770">
        <f>COUNTIF(D216:D235,"대")</f>
        <v>0</v>
      </c>
      <c r="V219" s="771">
        <f>COUNTIF(I216:I235,"대")</f>
        <v>0</v>
      </c>
      <c r="W219" s="770" t="s">
        <v>26</v>
      </c>
      <c r="X219" s="770">
        <f>SUMIF(D216:D235,"대",F216:F235)</f>
        <v>0</v>
      </c>
      <c r="Y219" s="771">
        <f>SUMIF(I216:I235,"대",K216:K235)</f>
        <v>0</v>
      </c>
      <c r="Z219" s="770">
        <f>COUNTIF(AJ216:AJ235,"대국")+COUNTIF(AJ216:AJ235,"대공")</f>
        <v>0</v>
      </c>
      <c r="AA219" s="771">
        <f>COUNTIF(AK216:AK235,"대국")+COUNTIF(AK216:AK235,"대공")</f>
        <v>0</v>
      </c>
      <c r="AB219" s="770" t="s">
        <v>26</v>
      </c>
      <c r="AC219" s="770">
        <f>SUMIF(AJ216:AJ235,"대국",F216:F235)+SUMIF(AJ216:AJ235,"대공",F216:F235)</f>
        <v>0</v>
      </c>
      <c r="AD219" s="771">
        <f>SUMIF(AK216:AK235,"대국",K216:K235)+SUMIF(AK216:AK235,"대공",K216:K235)</f>
        <v>0</v>
      </c>
      <c r="AE219" s="770">
        <f t="shared" si="64"/>
        <v>0</v>
      </c>
      <c r="AF219" s="771">
        <f t="shared" si="65"/>
        <v>0</v>
      </c>
      <c r="AG219" s="770" t="s">
        <v>26</v>
      </c>
      <c r="AH219" s="770">
        <f t="shared" si="66"/>
        <v>0</v>
      </c>
      <c r="AI219" s="771">
        <f t="shared" si="67"/>
        <v>0</v>
      </c>
      <c r="AJ219" s="770" t="str">
        <f t="shared" si="68"/>
        <v/>
      </c>
      <c r="AK219" s="770" t="str">
        <f t="shared" si="69"/>
        <v/>
      </c>
      <c r="AL219" s="772"/>
      <c r="AM219" s="772"/>
    </row>
    <row r="220" spans="1:39" s="773" customFormat="1" ht="24" hidden="1" customHeight="1" x14ac:dyDescent="0.15">
      <c r="A220" s="884">
        <v>205</v>
      </c>
      <c r="B220" s="654"/>
      <c r="C220" s="931"/>
      <c r="D220" s="931"/>
      <c r="E220" s="932"/>
      <c r="F220" s="932"/>
      <c r="G220" s="942"/>
      <c r="H220" s="905"/>
      <c r="I220" s="905"/>
      <c r="J220" s="942"/>
      <c r="K220" s="930"/>
      <c r="L220" s="949"/>
      <c r="M220" s="949"/>
      <c r="N220" s="950"/>
      <c r="O220" s="950"/>
      <c r="P220" s="655"/>
      <c r="Q220" s="655"/>
      <c r="R220" s="655"/>
      <c r="S220" s="671"/>
      <c r="T220" s="770" t="s">
        <v>31</v>
      </c>
      <c r="U220" s="770">
        <f>COUNTIF(D216:D235,"도")</f>
        <v>0</v>
      </c>
      <c r="V220" s="771">
        <f>COUNTIF(I216:I235,"도")</f>
        <v>0</v>
      </c>
      <c r="W220" s="770" t="s">
        <v>26</v>
      </c>
      <c r="X220" s="770">
        <f>SUMIF(D216:D235,"도",F216:F235)</f>
        <v>0</v>
      </c>
      <c r="Y220" s="771">
        <f>SUMIF(I216:I235,"도",K216:K235)</f>
        <v>0</v>
      </c>
      <c r="Z220" s="770">
        <f>COUNTIF(AJ216:AJ235,"도국")+COUNTIF(AJ216:AJ235,"도공")</f>
        <v>0</v>
      </c>
      <c r="AA220" s="771">
        <f>COUNTIF(AK216:AK235,"도국")+COUNTIF(AK216:AK235,"도공")</f>
        <v>0</v>
      </c>
      <c r="AB220" s="770" t="s">
        <v>26</v>
      </c>
      <c r="AC220" s="770">
        <f>SUMIF(AJ216:AJ235,"도국",F216:F235)+SUMIF(AJ216:AJ235,"도공",F216:F235)</f>
        <v>0</v>
      </c>
      <c r="AD220" s="771">
        <f>SUMIF(AK216:AK235,"도국",K216:K235)+SUMIF(AK216:AK235,"도공",K216:K235)</f>
        <v>0</v>
      </c>
      <c r="AE220" s="770">
        <f t="shared" si="64"/>
        <v>0</v>
      </c>
      <c r="AF220" s="771">
        <f t="shared" si="65"/>
        <v>0</v>
      </c>
      <c r="AG220" s="770" t="s">
        <v>26</v>
      </c>
      <c r="AH220" s="770">
        <f t="shared" si="66"/>
        <v>0</v>
      </c>
      <c r="AI220" s="771">
        <f t="shared" si="67"/>
        <v>0</v>
      </c>
      <c r="AJ220" s="770" t="str">
        <f t="shared" si="68"/>
        <v/>
      </c>
      <c r="AK220" s="770" t="str">
        <f t="shared" si="69"/>
        <v/>
      </c>
      <c r="AL220" s="772"/>
      <c r="AM220" s="772"/>
    </row>
    <row r="221" spans="1:39" s="773" customFormat="1" ht="24" hidden="1" customHeight="1" x14ac:dyDescent="0.15">
      <c r="A221" s="884">
        <v>206</v>
      </c>
      <c r="B221" s="654"/>
      <c r="C221" s="931"/>
      <c r="D221" s="931"/>
      <c r="E221" s="932"/>
      <c r="F221" s="932"/>
      <c r="G221" s="942"/>
      <c r="H221" s="905"/>
      <c r="I221" s="905"/>
      <c r="J221" s="942"/>
      <c r="K221" s="930"/>
      <c r="L221" s="949"/>
      <c r="M221" s="949"/>
      <c r="N221" s="950"/>
      <c r="O221" s="950"/>
      <c r="P221" s="655"/>
      <c r="Q221" s="655"/>
      <c r="R221" s="655"/>
      <c r="S221" s="671"/>
      <c r="T221" s="770" t="s">
        <v>32</v>
      </c>
      <c r="U221" s="786">
        <f>COUNTIF(D216:D235,"천")</f>
        <v>0</v>
      </c>
      <c r="V221" s="787">
        <f>COUNTIF(I216:I235,"천")</f>
        <v>0</v>
      </c>
      <c r="W221" s="770" t="s">
        <v>26</v>
      </c>
      <c r="X221" s="770">
        <f>SUMIF(D216:D235,"천",F216:F235)</f>
        <v>0</v>
      </c>
      <c r="Y221" s="771">
        <f>SUMIF(I216:I235,"천",K216:K235)</f>
        <v>0</v>
      </c>
      <c r="Z221" s="770">
        <f>COUNTIF(AJ216:AJ235,"천국")+COUNTIF(AJ216:AJ235,"천공")</f>
        <v>0</v>
      </c>
      <c r="AA221" s="771">
        <f>COUNTIF(AK216:AK235,"천국")+COUNTIF(AK216:AK235,"천공")</f>
        <v>0</v>
      </c>
      <c r="AB221" s="770" t="s">
        <v>26</v>
      </c>
      <c r="AC221" s="770">
        <f>SUMIF(AJ216:AJ235,"천국",F216:F235)+SUMIF(AJ216:AJ235,"천공",F216:F235)</f>
        <v>0</v>
      </c>
      <c r="AD221" s="771">
        <f>SUMIF(AK216:AK235,"천국",K216:K235)+SUMIF(AK216:AK235,"천공",K216:K235)</f>
        <v>0</v>
      </c>
      <c r="AE221" s="770">
        <f t="shared" si="64"/>
        <v>0</v>
      </c>
      <c r="AF221" s="771">
        <f t="shared" si="65"/>
        <v>0</v>
      </c>
      <c r="AG221" s="770" t="s">
        <v>26</v>
      </c>
      <c r="AH221" s="770">
        <f t="shared" si="66"/>
        <v>0</v>
      </c>
      <c r="AI221" s="771">
        <f t="shared" si="67"/>
        <v>0</v>
      </c>
      <c r="AJ221" s="770" t="str">
        <f t="shared" si="68"/>
        <v/>
      </c>
      <c r="AK221" s="770" t="str">
        <f t="shared" si="69"/>
        <v/>
      </c>
      <c r="AL221" s="772"/>
      <c r="AM221" s="772"/>
    </row>
    <row r="222" spans="1:39" s="773" customFormat="1" ht="24" hidden="1" customHeight="1" x14ac:dyDescent="0.15">
      <c r="A222" s="884">
        <v>207</v>
      </c>
      <c r="B222" s="654"/>
      <c r="C222" s="933"/>
      <c r="D222" s="931"/>
      <c r="E222" s="934"/>
      <c r="F222" s="934"/>
      <c r="G222" s="942"/>
      <c r="H222" s="905"/>
      <c r="I222" s="905"/>
      <c r="J222" s="942"/>
      <c r="K222" s="930"/>
      <c r="L222" s="949"/>
      <c r="M222" s="949"/>
      <c r="N222" s="950"/>
      <c r="O222" s="950"/>
      <c r="P222" s="655"/>
      <c r="Q222" s="655"/>
      <c r="R222" s="655"/>
      <c r="S222" s="671"/>
      <c r="T222" s="770" t="s">
        <v>33</v>
      </c>
      <c r="U222" s="770">
        <f>COUNTIF(D216:D235,"구")</f>
        <v>0</v>
      </c>
      <c r="V222" s="771">
        <f>COUNTIF(I216:I235,"구")</f>
        <v>0</v>
      </c>
      <c r="W222" s="770" t="s">
        <v>26</v>
      </c>
      <c r="X222" s="770">
        <f>SUMIF(D216:D235,"구",F216:F235)</f>
        <v>0</v>
      </c>
      <c r="Y222" s="771">
        <f>SUMIF(I216:I235,"구",K216:K235)</f>
        <v>0</v>
      </c>
      <c r="Z222" s="770">
        <f>COUNTIF(AJ216:AJ235,"구국")+COUNTIF(AJ216:AJ235,"구공")</f>
        <v>0</v>
      </c>
      <c r="AA222" s="771">
        <f>COUNTIF(AK216:AK235,"구국")+COUNTIF(AK216:AK235,"구공")</f>
        <v>0</v>
      </c>
      <c r="AB222" s="770" t="s">
        <v>26</v>
      </c>
      <c r="AC222" s="770">
        <f>SUMIF(AJ216:AJ235,"구국",F216:F235)+SUMIF(AJ216:AJ235,"구공",F216:F235)</f>
        <v>0</v>
      </c>
      <c r="AD222" s="771">
        <f>SUMIF(AK216:AK235,"구국",K216:K235)+SUMIF(AK216:AK235,"구공",K216:K235)</f>
        <v>0</v>
      </c>
      <c r="AE222" s="770">
        <f t="shared" si="64"/>
        <v>0</v>
      </c>
      <c r="AF222" s="771">
        <f t="shared" si="65"/>
        <v>0</v>
      </c>
      <c r="AG222" s="770" t="s">
        <v>26</v>
      </c>
      <c r="AH222" s="770">
        <f t="shared" si="66"/>
        <v>0</v>
      </c>
      <c r="AI222" s="771">
        <f t="shared" si="67"/>
        <v>0</v>
      </c>
      <c r="AJ222" s="770" t="str">
        <f t="shared" si="68"/>
        <v/>
      </c>
      <c r="AK222" s="770" t="str">
        <f t="shared" si="69"/>
        <v/>
      </c>
      <c r="AL222" s="772"/>
      <c r="AM222" s="772"/>
    </row>
    <row r="223" spans="1:39" s="773" customFormat="1" ht="24" hidden="1" customHeight="1" x14ac:dyDescent="0.15">
      <c r="A223" s="884">
        <v>208</v>
      </c>
      <c r="B223" s="654"/>
      <c r="C223" s="931"/>
      <c r="D223" s="931"/>
      <c r="E223" s="932"/>
      <c r="F223" s="932"/>
      <c r="G223" s="942"/>
      <c r="H223" s="905"/>
      <c r="I223" s="905"/>
      <c r="J223" s="942"/>
      <c r="K223" s="930"/>
      <c r="L223" s="949"/>
      <c r="M223" s="949"/>
      <c r="N223" s="950"/>
      <c r="O223" s="951"/>
      <c r="P223" s="655"/>
      <c r="Q223" s="655"/>
      <c r="R223" s="655"/>
      <c r="S223" s="671"/>
      <c r="T223" s="770" t="s">
        <v>34</v>
      </c>
      <c r="U223" s="770">
        <f>COUNTIF(D216:D235,"제")</f>
        <v>0</v>
      </c>
      <c r="V223" s="771">
        <f>COUNTIF(I216:I235,"제")</f>
        <v>0</v>
      </c>
      <c r="W223" s="770" t="s">
        <v>26</v>
      </c>
      <c r="X223" s="770">
        <f>SUMIF(D216:D235,"제",F216:F235)</f>
        <v>0</v>
      </c>
      <c r="Y223" s="771">
        <f>SUMIF(I216:I235,"제",K216:K235)</f>
        <v>0</v>
      </c>
      <c r="Z223" s="770">
        <f>COUNTIF(AJ216:AJ235,"제국")+COUNTIF(AJ216:AJ235,"제공")</f>
        <v>0</v>
      </c>
      <c r="AA223" s="771">
        <f>COUNTIF(AK216:AK235,"제국")+COUNTIF(AK216:AK235,"제공")</f>
        <v>0</v>
      </c>
      <c r="AB223" s="770" t="s">
        <v>26</v>
      </c>
      <c r="AC223" s="770">
        <f>SUMIF(AJ216:AJ235,"제국",F216:F235)+SUMIF(AJ216:AJ235,"제공",F216:F235)</f>
        <v>0</v>
      </c>
      <c r="AD223" s="771">
        <f>SUMIF(AK216:AK235,"제국",K216:K235)+SUMIF(AK216:AK235,"제공",K216:K235)</f>
        <v>0</v>
      </c>
      <c r="AE223" s="770">
        <f t="shared" si="64"/>
        <v>0</v>
      </c>
      <c r="AF223" s="771">
        <f t="shared" si="65"/>
        <v>0</v>
      </c>
      <c r="AG223" s="770" t="s">
        <v>26</v>
      </c>
      <c r="AH223" s="770">
        <f t="shared" si="66"/>
        <v>0</v>
      </c>
      <c r="AI223" s="771">
        <f t="shared" si="67"/>
        <v>0</v>
      </c>
      <c r="AJ223" s="770" t="str">
        <f t="shared" si="68"/>
        <v/>
      </c>
      <c r="AK223" s="770" t="str">
        <f t="shared" si="69"/>
        <v/>
      </c>
      <c r="AL223" s="772"/>
      <c r="AM223" s="772"/>
    </row>
    <row r="224" spans="1:39" s="773" customFormat="1" ht="24" hidden="1" customHeight="1" x14ac:dyDescent="0.15">
      <c r="A224" s="884">
        <v>209</v>
      </c>
      <c r="B224" s="654"/>
      <c r="C224" s="931"/>
      <c r="D224" s="931"/>
      <c r="E224" s="932"/>
      <c r="F224" s="932"/>
      <c r="G224" s="942"/>
      <c r="H224" s="905"/>
      <c r="I224" s="906"/>
      <c r="J224" s="944"/>
      <c r="K224" s="945"/>
      <c r="L224" s="946"/>
      <c r="M224" s="946"/>
      <c r="N224" s="948"/>
      <c r="O224" s="948"/>
      <c r="P224" s="894"/>
      <c r="Q224" s="894"/>
      <c r="R224" s="894"/>
      <c r="S224" s="671"/>
      <c r="T224" s="770" t="s">
        <v>46</v>
      </c>
      <c r="U224" s="770">
        <f>COUNTIF(D216:D235,"유")</f>
        <v>0</v>
      </c>
      <c r="V224" s="771">
        <f>COUNTIF(I216:I235,"유")</f>
        <v>0</v>
      </c>
      <c r="W224" s="770" t="s">
        <v>26</v>
      </c>
      <c r="X224" s="770">
        <f>SUMIF(D216:D235,"유",F216:F235)</f>
        <v>0</v>
      </c>
      <c r="Y224" s="771">
        <f>SUMIF(I216:I235,"유",K216:K235)</f>
        <v>0</v>
      </c>
      <c r="Z224" s="770">
        <f>COUNTIF(AJ216:AJ235,"유국")+COUNTIF(AJ216:AJ235,"유공")</f>
        <v>0</v>
      </c>
      <c r="AA224" s="771">
        <f>COUNTIF(AK216:AK235,"유국")+COUNTIF(AK216:AK235,"유공")</f>
        <v>0</v>
      </c>
      <c r="AB224" s="770" t="s">
        <v>26</v>
      </c>
      <c r="AC224" s="770">
        <f>SUMIF(AJ216:AJ235,"유국",F216:F235)+SUMIF(AJ216:AJ235,"유공",F216:F235)</f>
        <v>0</v>
      </c>
      <c r="AD224" s="771">
        <f>SUMIF(AK216:AK235,"유국",K216:K235)+SUMIF(AK216:AK235,"유공",K216:K235)</f>
        <v>0</v>
      </c>
      <c r="AE224" s="770">
        <f t="shared" si="64"/>
        <v>0</v>
      </c>
      <c r="AF224" s="771">
        <f t="shared" si="65"/>
        <v>0</v>
      </c>
      <c r="AG224" s="770" t="s">
        <v>26</v>
      </c>
      <c r="AH224" s="770">
        <f t="shared" si="66"/>
        <v>0</v>
      </c>
      <c r="AI224" s="771">
        <f t="shared" si="67"/>
        <v>0</v>
      </c>
      <c r="AJ224" s="770" t="str">
        <f t="shared" si="68"/>
        <v/>
      </c>
      <c r="AK224" s="770" t="str">
        <f t="shared" si="69"/>
        <v/>
      </c>
      <c r="AL224" s="772"/>
      <c r="AM224" s="772"/>
    </row>
    <row r="225" spans="1:39" s="773" customFormat="1" ht="24" hidden="1" customHeight="1" x14ac:dyDescent="0.15">
      <c r="A225" s="884">
        <v>210</v>
      </c>
      <c r="B225" s="654"/>
      <c r="C225" s="931"/>
      <c r="D225" s="931"/>
      <c r="E225" s="932"/>
      <c r="F225" s="932"/>
      <c r="G225" s="942"/>
      <c r="H225" s="905"/>
      <c r="I225" s="905"/>
      <c r="J225" s="942"/>
      <c r="K225" s="930"/>
      <c r="L225" s="949"/>
      <c r="M225" s="952"/>
      <c r="N225" s="950"/>
      <c r="O225" s="950"/>
      <c r="P225" s="886"/>
      <c r="Q225" s="886"/>
      <c r="R225" s="886"/>
      <c r="S225" s="671"/>
      <c r="T225" s="770" t="s">
        <v>47</v>
      </c>
      <c r="U225" s="770">
        <f>COUNTIF(D216:D235,"과")</f>
        <v>0</v>
      </c>
      <c r="V225" s="771">
        <f>COUNTIF(I216:I235,"과")</f>
        <v>0</v>
      </c>
      <c r="W225" s="770" t="s">
        <v>26</v>
      </c>
      <c r="X225" s="770">
        <f>SUMIF(D216:D235,"과",F216:F235)</f>
        <v>0</v>
      </c>
      <c r="Y225" s="771">
        <f>SUMIF(I216:I235,"과",K216:K235)</f>
        <v>0</v>
      </c>
      <c r="Z225" s="770">
        <f>COUNTIF(AJ216:AJ235,"과국")+COUNTIF(AJ216:AJ235,"과공")</f>
        <v>0</v>
      </c>
      <c r="AA225" s="771">
        <f>COUNTIF(AK216:AK235,"과국")+COUNTIF(AK216:AK235,"과공")</f>
        <v>0</v>
      </c>
      <c r="AB225" s="770" t="s">
        <v>26</v>
      </c>
      <c r="AC225" s="770">
        <f>SUMIF(AJ216:AJ235,"과국",F216:F235)+SUMIF(AJ216:AJ235,"과공",F216:F235)</f>
        <v>0</v>
      </c>
      <c r="AD225" s="771">
        <f>SUMIF(AK216:AK235,"과국",K216:K235)+SUMIF(AK216:AK235,"과공",K216:K235)</f>
        <v>0</v>
      </c>
      <c r="AE225" s="770">
        <f t="shared" si="64"/>
        <v>0</v>
      </c>
      <c r="AF225" s="771">
        <f t="shared" si="65"/>
        <v>0</v>
      </c>
      <c r="AG225" s="770" t="s">
        <v>26</v>
      </c>
      <c r="AH225" s="770">
        <f t="shared" si="66"/>
        <v>0</v>
      </c>
      <c r="AI225" s="771">
        <f t="shared" si="67"/>
        <v>0</v>
      </c>
      <c r="AJ225" s="770" t="str">
        <f t="shared" si="68"/>
        <v/>
      </c>
      <c r="AK225" s="770" t="str">
        <f t="shared" si="69"/>
        <v/>
      </c>
      <c r="AL225" s="772"/>
      <c r="AM225" s="772"/>
    </row>
    <row r="226" spans="1:39" s="773" customFormat="1" ht="24" hidden="1" customHeight="1" x14ac:dyDescent="0.15">
      <c r="A226" s="884">
        <v>211</v>
      </c>
      <c r="B226" s="654"/>
      <c r="C226" s="931"/>
      <c r="D226" s="931"/>
      <c r="E226" s="932"/>
      <c r="F226" s="932"/>
      <c r="G226" s="942"/>
      <c r="H226" s="905"/>
      <c r="I226" s="905"/>
      <c r="J226" s="942"/>
      <c r="K226" s="930"/>
      <c r="L226" s="949"/>
      <c r="M226" s="949"/>
      <c r="N226" s="950"/>
      <c r="O226" s="950"/>
      <c r="P226" s="655"/>
      <c r="Q226" s="655"/>
      <c r="R226" s="655"/>
      <c r="S226" s="671"/>
      <c r="T226" s="770" t="s">
        <v>36</v>
      </c>
      <c r="U226" s="770">
        <f>COUNTIF(D216:D235,"묘")</f>
        <v>0</v>
      </c>
      <c r="V226" s="771">
        <f>COUNTIF(I216:I235,"묘")</f>
        <v>0</v>
      </c>
      <c r="W226" s="770" t="s">
        <v>26</v>
      </c>
      <c r="X226" s="770">
        <f>SUMIF(D216:D235,"묘",F216:F235)</f>
        <v>0</v>
      </c>
      <c r="Y226" s="771">
        <f>SUMIF(I216:I235,"묘",K216:K235)</f>
        <v>0</v>
      </c>
      <c r="Z226" s="770">
        <f>COUNTIF(AJ216:AJ235,"묘국")+COUNTIF(AJ216:AJ235,"묘공")</f>
        <v>0</v>
      </c>
      <c r="AA226" s="771">
        <f>COUNTIF(AK216:AK235,"묘국")+COUNTIF(AK216:AK235,"묘공")</f>
        <v>0</v>
      </c>
      <c r="AB226" s="770" t="s">
        <v>26</v>
      </c>
      <c r="AC226" s="770">
        <f>SUMIF(AJ216:AJ235,"묘국",F216:F235)+SUMIF(AJ216:AJ235,"묘공",F216:F235)</f>
        <v>0</v>
      </c>
      <c r="AD226" s="771">
        <f>SUMIF(AK216:AK235,"묘국",K216:K235)+SUMIF(AK216:AK235,"묘공",K216:K235)</f>
        <v>0</v>
      </c>
      <c r="AE226" s="770">
        <f t="shared" si="64"/>
        <v>0</v>
      </c>
      <c r="AF226" s="771">
        <f t="shared" si="65"/>
        <v>0</v>
      </c>
      <c r="AG226" s="770" t="s">
        <v>26</v>
      </c>
      <c r="AH226" s="770">
        <f t="shared" si="66"/>
        <v>0</v>
      </c>
      <c r="AI226" s="771">
        <f t="shared" si="67"/>
        <v>0</v>
      </c>
      <c r="AJ226" s="770" t="str">
        <f t="shared" si="68"/>
        <v/>
      </c>
      <c r="AK226" s="770" t="str">
        <f t="shared" si="69"/>
        <v/>
      </c>
      <c r="AL226" s="772"/>
      <c r="AM226" s="772"/>
    </row>
    <row r="227" spans="1:39" s="773" customFormat="1" ht="24" hidden="1" customHeight="1" x14ac:dyDescent="0.15">
      <c r="A227" s="884">
        <v>212</v>
      </c>
      <c r="B227" s="654"/>
      <c r="C227" s="931"/>
      <c r="D227" s="931"/>
      <c r="E227" s="957"/>
      <c r="F227" s="957"/>
      <c r="G227" s="942"/>
      <c r="H227" s="905"/>
      <c r="I227" s="905"/>
      <c r="J227" s="942"/>
      <c r="K227" s="930"/>
      <c r="L227" s="949"/>
      <c r="M227" s="949"/>
      <c r="N227" s="950"/>
      <c r="O227" s="950"/>
      <c r="P227" s="655"/>
      <c r="Q227" s="655"/>
      <c r="R227" s="655"/>
      <c r="S227" s="671"/>
      <c r="T227" s="770" t="s">
        <v>39</v>
      </c>
      <c r="U227" s="770">
        <f>COUNTIF(D216:D235,"수")</f>
        <v>0</v>
      </c>
      <c r="V227" s="771">
        <f>COUNTIF(I216:I235,"수")</f>
        <v>0</v>
      </c>
      <c r="W227" s="770" t="s">
        <v>26</v>
      </c>
      <c r="X227" s="770">
        <f>SUMIF(D216:D235,"수",F216:F235)</f>
        <v>0</v>
      </c>
      <c r="Y227" s="771">
        <f>SUMIF(I216:I235,"수",K216:K235)</f>
        <v>0</v>
      </c>
      <c r="Z227" s="770">
        <f>COUNTIF(AJ216:AJ235,"수국")+COUNTIF(AJ216:AJ235,"수공")</f>
        <v>0</v>
      </c>
      <c r="AA227" s="771">
        <f>COUNTIF(AK216:AK235,"수국")+COUNTIF(AK216:AK235,"수공")</f>
        <v>0</v>
      </c>
      <c r="AB227" s="770" t="s">
        <v>26</v>
      </c>
      <c r="AC227" s="770">
        <f>SUMIF(AJ216:AJ235,"수국",F216:F235)+SUMIF(AJ216:AJ235,"수공",F216:F235)</f>
        <v>0</v>
      </c>
      <c r="AD227" s="771">
        <f>SUMIF(AK216:AK235,"수국",K216:K235)+SUMIF(AK216:AK235,"수공",K216:K235)</f>
        <v>0</v>
      </c>
      <c r="AE227" s="770">
        <f t="shared" si="64"/>
        <v>0</v>
      </c>
      <c r="AF227" s="771">
        <f t="shared" si="65"/>
        <v>0</v>
      </c>
      <c r="AG227" s="770" t="s">
        <v>26</v>
      </c>
      <c r="AH227" s="770">
        <f t="shared" si="66"/>
        <v>0</v>
      </c>
      <c r="AI227" s="771">
        <f t="shared" si="67"/>
        <v>0</v>
      </c>
      <c r="AJ227" s="770" t="str">
        <f t="shared" si="68"/>
        <v/>
      </c>
      <c r="AK227" s="770" t="str">
        <f t="shared" si="69"/>
        <v/>
      </c>
      <c r="AL227" s="772"/>
      <c r="AM227" s="772"/>
    </row>
    <row r="228" spans="1:39" s="773" customFormat="1" ht="24" hidden="1" customHeight="1" x14ac:dyDescent="0.15">
      <c r="A228" s="884">
        <v>213</v>
      </c>
      <c r="B228" s="654"/>
      <c r="C228" s="933"/>
      <c r="D228" s="931"/>
      <c r="E228" s="958"/>
      <c r="F228" s="958"/>
      <c r="G228" s="942"/>
      <c r="H228" s="905"/>
      <c r="I228" s="905"/>
      <c r="J228" s="942"/>
      <c r="K228" s="930"/>
      <c r="L228" s="959"/>
      <c r="M228" s="949"/>
      <c r="N228" s="960"/>
      <c r="O228" s="950"/>
      <c r="P228" s="655"/>
      <c r="Q228" s="655"/>
      <c r="R228" s="655"/>
      <c r="S228" s="671"/>
      <c r="T228" s="770" t="s">
        <v>35</v>
      </c>
      <c r="U228" s="770">
        <f>COUNTIF(D216:D235,"잡")</f>
        <v>0</v>
      </c>
      <c r="V228" s="771">
        <f>COUNTIF(I216:I235,"잡")</f>
        <v>0</v>
      </c>
      <c r="W228" s="770" t="s">
        <v>26</v>
      </c>
      <c r="X228" s="770">
        <f>SUMIF(D216:D235,"잡",F216:F235)</f>
        <v>0</v>
      </c>
      <c r="Y228" s="771">
        <f>SUMIF(I216:I235,"잡",K216:K235)</f>
        <v>0</v>
      </c>
      <c r="Z228" s="770">
        <f>COUNTIF(AJ216:AJ235,"잡국")+COUNTIF(AJ216:AJ235,"잡공")</f>
        <v>0</v>
      </c>
      <c r="AA228" s="771">
        <f>COUNTIF(AK216:AK235,"잡국")+COUNTIF(AK216:AK235,"잡공")</f>
        <v>0</v>
      </c>
      <c r="AB228" s="770" t="s">
        <v>26</v>
      </c>
      <c r="AC228" s="770">
        <f>SUMIF(AJ216:AJ235,"잡국",F216:F235)+SUMIF(AJ216:AJ235,"잡공",F216:F235)</f>
        <v>0</v>
      </c>
      <c r="AD228" s="771">
        <f>SUMIF(AK216:AK235,"잡국",K216:K235)+SUMIF(AK216:AK235,"잡공",K216:K235)</f>
        <v>0</v>
      </c>
      <c r="AE228" s="770">
        <f t="shared" si="64"/>
        <v>0</v>
      </c>
      <c r="AF228" s="771">
        <f t="shared" si="65"/>
        <v>0</v>
      </c>
      <c r="AG228" s="770" t="s">
        <v>26</v>
      </c>
      <c r="AH228" s="770">
        <f t="shared" si="66"/>
        <v>0</v>
      </c>
      <c r="AI228" s="771">
        <f t="shared" si="67"/>
        <v>0</v>
      </c>
      <c r="AJ228" s="770" t="str">
        <f t="shared" si="68"/>
        <v/>
      </c>
      <c r="AK228" s="770" t="str">
        <f t="shared" si="69"/>
        <v/>
      </c>
      <c r="AL228" s="772"/>
      <c r="AM228" s="772"/>
    </row>
    <row r="229" spans="1:39" s="773" customFormat="1" ht="24" hidden="1" customHeight="1" x14ac:dyDescent="0.15">
      <c r="A229" s="884">
        <v>214</v>
      </c>
      <c r="B229" s="654"/>
      <c r="C229" s="931"/>
      <c r="D229" s="931"/>
      <c r="E229" s="957"/>
      <c r="F229" s="957"/>
      <c r="G229" s="943"/>
      <c r="H229" s="905"/>
      <c r="I229" s="905"/>
      <c r="J229" s="943"/>
      <c r="K229" s="930"/>
      <c r="L229" s="949"/>
      <c r="M229" s="949"/>
      <c r="N229" s="950"/>
      <c r="O229" s="950"/>
      <c r="P229" s="655"/>
      <c r="Q229" s="655"/>
      <c r="R229" s="655"/>
      <c r="S229" s="671"/>
      <c r="T229" s="770" t="s">
        <v>51</v>
      </c>
      <c r="U229" s="770">
        <f>COUNTIF(D216:D235,"체")</f>
        <v>0</v>
      </c>
      <c r="V229" s="771">
        <f>COUNTIF(I216:I235,"체")</f>
        <v>0</v>
      </c>
      <c r="W229" s="770" t="s">
        <v>26</v>
      </c>
      <c r="X229" s="770">
        <f>SUMIF(D216:D235,"체",F216:F235)</f>
        <v>0</v>
      </c>
      <c r="Y229" s="771">
        <f>SUMIF(I216:I235,"체",K216:K235)</f>
        <v>0</v>
      </c>
      <c r="Z229" s="770">
        <f>COUNTIF(AJ216:AJ235,"체국")+COUNTIF(AJ216:AJ235,"체공")</f>
        <v>0</v>
      </c>
      <c r="AA229" s="771">
        <f>COUNTIF(AK216:AK235,"체국")+COUNTIF(AK216:AK235,"체공")</f>
        <v>0</v>
      </c>
      <c r="AB229" s="770" t="s">
        <v>26</v>
      </c>
      <c r="AC229" s="770">
        <f>SUMIF(AJ216:AJ235,"체국",F216:F235)+SUMIF(AJ216:AJ235,"체공",F216:F235)</f>
        <v>0</v>
      </c>
      <c r="AD229" s="771">
        <f>SUMIF(AK216:AK235,"체국",K216:K235)+SUMIF(AK216:AK235,"체공",K216:K235)</f>
        <v>0</v>
      </c>
      <c r="AE229" s="770">
        <f t="shared" si="64"/>
        <v>0</v>
      </c>
      <c r="AF229" s="771">
        <f t="shared" si="65"/>
        <v>0</v>
      </c>
      <c r="AG229" s="770" t="s">
        <v>26</v>
      </c>
      <c r="AH229" s="770">
        <f t="shared" si="66"/>
        <v>0</v>
      </c>
      <c r="AI229" s="771">
        <f t="shared" si="67"/>
        <v>0</v>
      </c>
      <c r="AJ229" s="770" t="str">
        <f t="shared" si="68"/>
        <v/>
      </c>
      <c r="AK229" s="770" t="str">
        <f t="shared" si="69"/>
        <v/>
      </c>
      <c r="AL229" s="772"/>
      <c r="AM229" s="772"/>
    </row>
    <row r="230" spans="1:39" s="773" customFormat="1" ht="24" hidden="1" customHeight="1" x14ac:dyDescent="0.15">
      <c r="A230" s="884">
        <v>215</v>
      </c>
      <c r="B230" s="654"/>
      <c r="C230" s="931"/>
      <c r="D230" s="931"/>
      <c r="E230" s="957"/>
      <c r="F230" s="957"/>
      <c r="G230" s="942"/>
      <c r="H230" s="905"/>
      <c r="I230" s="905"/>
      <c r="J230" s="942"/>
      <c r="K230" s="930"/>
      <c r="L230" s="959"/>
      <c r="M230" s="949"/>
      <c r="N230" s="960"/>
      <c r="O230" s="950"/>
      <c r="P230" s="655"/>
      <c r="Q230" s="655"/>
      <c r="R230" s="655"/>
      <c r="S230" s="671"/>
      <c r="T230" s="770" t="s">
        <v>50</v>
      </c>
      <c r="U230" s="770">
        <f>COUNTIF(D216:D235,"공")</f>
        <v>0</v>
      </c>
      <c r="V230" s="771">
        <f>COUNTIF(I216:I235,"공")</f>
        <v>0</v>
      </c>
      <c r="W230" s="770" t="s">
        <v>26</v>
      </c>
      <c r="X230" s="770">
        <f>SUMIF(D216:D235,"공",F216:F235)</f>
        <v>0</v>
      </c>
      <c r="Y230" s="771">
        <f>SUMIF(I216:I235,"공",K216:K235)</f>
        <v>0</v>
      </c>
      <c r="Z230" s="770">
        <f>COUNTIF(AJ216:AJ235,"공국")+COUNTIF(AJ216:AJ235,"공공")</f>
        <v>0</v>
      </c>
      <c r="AA230" s="771">
        <f>COUNTIF(AK216:AK235,"공국")+COUNTIF(AK216:AK235,"공공")</f>
        <v>0</v>
      </c>
      <c r="AB230" s="770" t="s">
        <v>26</v>
      </c>
      <c r="AC230" s="770">
        <f>SUMIF(AJ216:AJ235,"공국",F216:F235)+SUMIF(AJ216:AJ235,"공공",F216:F235)</f>
        <v>0</v>
      </c>
      <c r="AD230" s="771">
        <f>SUMIF(AK216:AK235,"공국",K216:K235)+SUMIF(AK216:AK235,"공공",K216:K235)</f>
        <v>0</v>
      </c>
      <c r="AE230" s="770">
        <f t="shared" si="64"/>
        <v>0</v>
      </c>
      <c r="AF230" s="771">
        <f t="shared" si="65"/>
        <v>0</v>
      </c>
      <c r="AG230" s="770" t="s">
        <v>26</v>
      </c>
      <c r="AH230" s="770">
        <f t="shared" si="66"/>
        <v>0</v>
      </c>
      <c r="AI230" s="771">
        <f t="shared" si="67"/>
        <v>0</v>
      </c>
      <c r="AJ230" s="770" t="str">
        <f t="shared" si="68"/>
        <v/>
      </c>
      <c r="AK230" s="770" t="str">
        <f t="shared" si="69"/>
        <v/>
      </c>
      <c r="AL230" s="772"/>
      <c r="AM230" s="772"/>
    </row>
    <row r="231" spans="1:39" s="773" customFormat="1" ht="24" hidden="1" customHeight="1" x14ac:dyDescent="0.15">
      <c r="A231" s="884">
        <v>216</v>
      </c>
      <c r="B231" s="654"/>
      <c r="C231" s="931"/>
      <c r="D231" s="931"/>
      <c r="E231" s="957"/>
      <c r="F231" s="957"/>
      <c r="G231" s="942"/>
      <c r="H231" s="905"/>
      <c r="I231" s="905"/>
      <c r="J231" s="942"/>
      <c r="K231" s="930"/>
      <c r="L231" s="949"/>
      <c r="M231" s="949"/>
      <c r="N231" s="950"/>
      <c r="O231" s="950"/>
      <c r="P231" s="655"/>
      <c r="Q231" s="655"/>
      <c r="R231" s="655"/>
      <c r="S231" s="671"/>
      <c r="T231" s="791" t="s">
        <v>40</v>
      </c>
      <c r="U231" s="770">
        <f>COUNTIF(D216:D235,"장")</f>
        <v>0</v>
      </c>
      <c r="V231" s="771">
        <f>COUNTIF(I216:I235,"장")</f>
        <v>0</v>
      </c>
      <c r="W231" s="770" t="s">
        <v>26</v>
      </c>
      <c r="X231" s="770">
        <f>SUMIF(D216:D235,"장",F216:F235)</f>
        <v>0</v>
      </c>
      <c r="Y231" s="771">
        <f>SUMIF(I216:I235,"장",K216:K235)</f>
        <v>0</v>
      </c>
      <c r="Z231" s="770">
        <f>COUNTIF(AJ216:AJ235,"장국")+COUNTIF(AJ216:AJ235,"장공")</f>
        <v>0</v>
      </c>
      <c r="AA231" s="771">
        <f>COUNTIF(AK216:AK235,"장국")+COUNTIF(AK216:AK235,"장공")</f>
        <v>0</v>
      </c>
      <c r="AB231" s="770" t="s">
        <v>26</v>
      </c>
      <c r="AC231" s="770">
        <f>SUMIF(AJ216:AJ235,"장국",F216:F235)+SUMIF(AJ216:AJ235,"장공",F216:F235)</f>
        <v>0</v>
      </c>
      <c r="AD231" s="771">
        <f>SUMIF(AK216:AK235,"장국",K216:K235)+SUMIF(AK216:AK235,"장공",K216:K235)</f>
        <v>0</v>
      </c>
      <c r="AE231" s="770">
        <f t="shared" si="64"/>
        <v>0</v>
      </c>
      <c r="AF231" s="771">
        <f t="shared" si="65"/>
        <v>0</v>
      </c>
      <c r="AG231" s="770" t="s">
        <v>26</v>
      </c>
      <c r="AH231" s="770">
        <f t="shared" si="66"/>
        <v>0</v>
      </c>
      <c r="AI231" s="771">
        <f t="shared" si="67"/>
        <v>0</v>
      </c>
      <c r="AJ231" s="770" t="str">
        <f t="shared" si="68"/>
        <v/>
      </c>
      <c r="AK231" s="770" t="str">
        <f t="shared" si="69"/>
        <v/>
      </c>
      <c r="AL231" s="772"/>
      <c r="AM231" s="772"/>
    </row>
    <row r="232" spans="1:39" s="773" customFormat="1" ht="24" hidden="1" customHeight="1" x14ac:dyDescent="0.15">
      <c r="A232" s="884">
        <v>217</v>
      </c>
      <c r="B232" s="654"/>
      <c r="C232" s="931"/>
      <c r="D232" s="931"/>
      <c r="E232" s="957"/>
      <c r="F232" s="957"/>
      <c r="G232" s="942"/>
      <c r="H232" s="905"/>
      <c r="I232" s="905"/>
      <c r="J232" s="942"/>
      <c r="K232" s="930"/>
      <c r="L232" s="949"/>
      <c r="M232" s="949"/>
      <c r="N232" s="950"/>
      <c r="O232" s="950"/>
      <c r="P232" s="655"/>
      <c r="Q232" s="655"/>
      <c r="R232" s="655"/>
      <c r="S232" s="671"/>
      <c r="T232" s="791" t="s">
        <v>79</v>
      </c>
      <c r="U232" s="770">
        <f>COUNTIF(D216:D235,"목")</f>
        <v>0</v>
      </c>
      <c r="V232" s="771">
        <f>COUNTIF(I216:I235,"목")</f>
        <v>0</v>
      </c>
      <c r="W232" s="770" t="s">
        <v>26</v>
      </c>
      <c r="X232" s="770">
        <f>SUMIF(D216:D235,"목",F216:F235)</f>
        <v>0</v>
      </c>
      <c r="Y232" s="771">
        <f>SUMIF(I216:I235,"목",K216:K235)</f>
        <v>0</v>
      </c>
      <c r="Z232" s="770">
        <f>COUNTIF(AJ216:AJ235,"목국")+COUNTIF(AJ216:AJ235,"목공")</f>
        <v>0</v>
      </c>
      <c r="AA232" s="771">
        <f>COUNTIF(AK216:AK235,"목국")+COUNTIF(AK216:AK235,"목공")</f>
        <v>0</v>
      </c>
      <c r="AB232" s="770" t="s">
        <v>26</v>
      </c>
      <c r="AC232" s="770">
        <f>SUMIF(AJ216:AJ235,"목국",F216:F235)+SUMIF(AJ216:AJ235,"목공",F216:F235)</f>
        <v>0</v>
      </c>
      <c r="AD232" s="771">
        <f>SUMIF(AK216:AK235,"목국",K216:K235)+SUMIF(AK216:AK235,"목공",K216:K235)</f>
        <v>0</v>
      </c>
      <c r="AE232" s="770">
        <f t="shared" si="64"/>
        <v>0</v>
      </c>
      <c r="AF232" s="771">
        <f t="shared" si="65"/>
        <v>0</v>
      </c>
      <c r="AG232" s="770" t="s">
        <v>26</v>
      </c>
      <c r="AH232" s="770">
        <f t="shared" si="66"/>
        <v>0</v>
      </c>
      <c r="AI232" s="771">
        <f t="shared" si="67"/>
        <v>0</v>
      </c>
      <c r="AJ232" s="770" t="str">
        <f t="shared" si="68"/>
        <v/>
      </c>
      <c r="AK232" s="770" t="str">
        <f t="shared" si="69"/>
        <v/>
      </c>
      <c r="AL232" s="772"/>
      <c r="AM232" s="772"/>
    </row>
    <row r="233" spans="1:39" s="773" customFormat="1" ht="24" hidden="1" customHeight="1" x14ac:dyDescent="0.15">
      <c r="A233" s="884">
        <v>218</v>
      </c>
      <c r="B233" s="654"/>
      <c r="C233" s="931"/>
      <c r="D233" s="931"/>
      <c r="E233" s="957"/>
      <c r="F233" s="957"/>
      <c r="G233" s="891"/>
      <c r="H233" s="961"/>
      <c r="I233" s="961"/>
      <c r="J233" s="962"/>
      <c r="K233" s="930"/>
      <c r="L233" s="886"/>
      <c r="M233" s="886"/>
      <c r="N233" s="963"/>
      <c r="O233" s="950"/>
      <c r="P233" s="655"/>
      <c r="Q233" s="655"/>
      <c r="R233" s="655"/>
      <c r="S233" s="671"/>
      <c r="T233" s="791"/>
      <c r="U233" s="791"/>
      <c r="V233" s="792"/>
      <c r="W233" s="791"/>
      <c r="X233" s="791"/>
      <c r="Y233" s="792"/>
      <c r="Z233" s="770"/>
      <c r="AA233" s="771"/>
      <c r="AB233" s="791"/>
      <c r="AC233" s="770"/>
      <c r="AD233" s="771"/>
      <c r="AE233" s="791"/>
      <c r="AF233" s="792"/>
      <c r="AG233" s="791"/>
      <c r="AH233" s="791"/>
      <c r="AI233" s="792"/>
      <c r="AJ233" s="770" t="str">
        <f t="shared" si="68"/>
        <v/>
      </c>
      <c r="AK233" s="770" t="str">
        <f t="shared" si="69"/>
        <v/>
      </c>
      <c r="AL233" s="772"/>
      <c r="AM233" s="772"/>
    </row>
    <row r="234" spans="1:39" s="773" customFormat="1" ht="24" hidden="1" customHeight="1" x14ac:dyDescent="0.15">
      <c r="A234" s="884">
        <v>219</v>
      </c>
      <c r="B234" s="654"/>
      <c r="C234" s="931"/>
      <c r="D234" s="931"/>
      <c r="E234" s="957"/>
      <c r="F234" s="957"/>
      <c r="G234" s="943"/>
      <c r="H234" s="905"/>
      <c r="I234" s="905"/>
      <c r="J234" s="943"/>
      <c r="K234" s="930"/>
      <c r="L234" s="949"/>
      <c r="M234" s="949"/>
      <c r="N234" s="950"/>
      <c r="O234" s="950"/>
      <c r="P234" s="655"/>
      <c r="Q234" s="655"/>
      <c r="R234" s="655"/>
      <c r="S234" s="671"/>
      <c r="T234" s="791"/>
      <c r="U234" s="791"/>
      <c r="V234" s="792"/>
      <c r="W234" s="791"/>
      <c r="X234" s="791"/>
      <c r="Y234" s="792"/>
      <c r="Z234" s="770"/>
      <c r="AA234" s="771"/>
      <c r="AB234" s="791"/>
      <c r="AC234" s="770"/>
      <c r="AD234" s="771"/>
      <c r="AE234" s="791"/>
      <c r="AF234" s="792"/>
      <c r="AG234" s="791"/>
      <c r="AH234" s="791"/>
      <c r="AI234" s="792"/>
      <c r="AJ234" s="770" t="str">
        <f t="shared" si="68"/>
        <v/>
      </c>
      <c r="AK234" s="770" t="str">
        <f t="shared" si="69"/>
        <v/>
      </c>
      <c r="AL234" s="772"/>
      <c r="AM234" s="772"/>
    </row>
    <row r="235" spans="1:39" s="773" customFormat="1" ht="24" hidden="1" customHeight="1" x14ac:dyDescent="0.15">
      <c r="A235" s="884">
        <v>220</v>
      </c>
      <c r="B235" s="654"/>
      <c r="C235" s="933"/>
      <c r="D235" s="931"/>
      <c r="E235" s="958"/>
      <c r="F235" s="958"/>
      <c r="G235" s="942"/>
      <c r="H235" s="905"/>
      <c r="I235" s="905"/>
      <c r="J235" s="942"/>
      <c r="K235" s="930"/>
      <c r="L235" s="949"/>
      <c r="M235" s="949"/>
      <c r="N235" s="950"/>
      <c r="O235" s="950"/>
      <c r="P235" s="655"/>
      <c r="Q235" s="655"/>
      <c r="R235" s="655"/>
      <c r="S235" s="671"/>
      <c r="T235" s="794" t="s">
        <v>37</v>
      </c>
      <c r="U235" s="794">
        <f>COUNTIF(D216:D235,"철")</f>
        <v>0</v>
      </c>
      <c r="V235" s="795">
        <f>COUNTIF(I216:I235,"철")</f>
        <v>0</v>
      </c>
      <c r="W235" s="794" t="s">
        <v>26</v>
      </c>
      <c r="X235" s="794">
        <f>SUMIF(D216:D235,"철",F216:F235)</f>
        <v>0</v>
      </c>
      <c r="Y235" s="795">
        <f>SUMIF(I216:I235,"철",K216:K235)</f>
        <v>0</v>
      </c>
      <c r="Z235" s="770">
        <f>COUNTIF(AJ216:AJ235,"철국")+COUNTIF(AJ216:AJ235,"철공")</f>
        <v>0</v>
      </c>
      <c r="AA235" s="771">
        <f>COUNTIF(AK216:AK235,"철국")+COUNTIF(AK216:AK235,"철공")</f>
        <v>0</v>
      </c>
      <c r="AB235" s="794" t="s">
        <v>26</v>
      </c>
      <c r="AC235" s="770">
        <f>SUMIF(AJ216:AJ235,"철국",F216:F235)+SUMIF(AJ216:AJ235,"철공",F216:F235)</f>
        <v>0</v>
      </c>
      <c r="AD235" s="771">
        <f>SUMIF(AK216:AK235,"철국",K216:K235)+SUMIF(AK216:AK235,"철공",K216:K235)</f>
        <v>0</v>
      </c>
      <c r="AE235" s="794"/>
      <c r="AF235" s="795"/>
      <c r="AG235" s="794"/>
      <c r="AH235" s="794"/>
      <c r="AI235" s="795"/>
      <c r="AJ235" s="770" t="str">
        <f t="shared" si="68"/>
        <v/>
      </c>
      <c r="AK235" s="770" t="str">
        <f t="shared" si="69"/>
        <v/>
      </c>
      <c r="AL235" s="772"/>
      <c r="AM235" s="772"/>
    </row>
    <row r="236" spans="1:39" s="755" customFormat="1" ht="24" hidden="1" customHeight="1" thickBot="1" x14ac:dyDescent="0.2">
      <c r="A236" s="796" t="s">
        <v>48</v>
      </c>
      <c r="B236" s="797"/>
      <c r="C236" s="797"/>
      <c r="D236" s="797"/>
      <c r="E236" s="935"/>
      <c r="F236" s="798">
        <f>SUM(F216:F235)</f>
        <v>0</v>
      </c>
      <c r="G236" s="799"/>
      <c r="H236" s="799"/>
      <c r="I236" s="827"/>
      <c r="J236" s="936"/>
      <c r="K236" s="829">
        <f>SUM(K216:K235)</f>
        <v>0</v>
      </c>
      <c r="L236" s="803"/>
      <c r="M236" s="803"/>
      <c r="N236" s="804"/>
      <c r="O236" s="804"/>
      <c r="P236" s="803"/>
      <c r="Q236" s="803"/>
      <c r="R236" s="803"/>
      <c r="S236" s="805"/>
      <c r="T236" s="806" t="s">
        <v>24</v>
      </c>
      <c r="U236" s="807">
        <f t="shared" ref="U236:AA236" si="70">SUM(U216:U235)</f>
        <v>0</v>
      </c>
      <c r="V236" s="807">
        <f t="shared" si="70"/>
        <v>0</v>
      </c>
      <c r="W236" s="807">
        <f t="shared" si="70"/>
        <v>0</v>
      </c>
      <c r="X236" s="807">
        <f t="shared" si="70"/>
        <v>0</v>
      </c>
      <c r="Y236" s="807">
        <f t="shared" si="70"/>
        <v>0</v>
      </c>
      <c r="Z236" s="822">
        <f t="shared" si="70"/>
        <v>0</v>
      </c>
      <c r="AA236" s="823">
        <f t="shared" si="70"/>
        <v>0</v>
      </c>
      <c r="AB236" s="822" t="s">
        <v>26</v>
      </c>
      <c r="AC236" s="822">
        <f>SUM(AC216:AC235)</f>
        <v>0</v>
      </c>
      <c r="AD236" s="823">
        <f>SUM(AD216:AD235)</f>
        <v>0</v>
      </c>
      <c r="AE236" s="807">
        <f>SUM(AE216:AE235)</f>
        <v>0</v>
      </c>
      <c r="AF236" s="807">
        <f>SUM(AF216:AF235)</f>
        <v>0</v>
      </c>
      <c r="AG236" s="807" t="s">
        <v>26</v>
      </c>
      <c r="AH236" s="807">
        <f>SUM(AH216:AH235)</f>
        <v>0</v>
      </c>
      <c r="AI236" s="807">
        <f>SUM(AI216:AI235)</f>
        <v>0</v>
      </c>
      <c r="AJ236" s="807"/>
      <c r="AK236" s="770" t="str">
        <f>CONCATENATE(I236,N236)</f>
        <v/>
      </c>
    </row>
    <row r="237" spans="1:39" s="773" customFormat="1" ht="24" hidden="1" customHeight="1" x14ac:dyDescent="0.15">
      <c r="A237" s="877">
        <v>221</v>
      </c>
      <c r="B237" s="878"/>
      <c r="C237" s="931"/>
      <c r="D237" s="931"/>
      <c r="E237" s="957"/>
      <c r="F237" s="957"/>
      <c r="G237" s="954"/>
      <c r="H237" s="917"/>
      <c r="I237" s="917"/>
      <c r="J237" s="954"/>
      <c r="K237" s="939"/>
      <c r="L237" s="955"/>
      <c r="M237" s="955"/>
      <c r="N237" s="956"/>
      <c r="O237" s="956"/>
      <c r="P237" s="919"/>
      <c r="Q237" s="919"/>
      <c r="R237" s="919"/>
      <c r="S237" s="940"/>
      <c r="T237" s="770" t="s">
        <v>27</v>
      </c>
      <c r="U237" s="770">
        <f>COUNTIF(D237:D256,"전")</f>
        <v>0</v>
      </c>
      <c r="V237" s="771">
        <f>COUNTIF(I237:I256,"전")</f>
        <v>0</v>
      </c>
      <c r="W237" s="770" t="s">
        <v>26</v>
      </c>
      <c r="X237" s="770">
        <f>SUMIF(D237:D256,"전",F237:F256)</f>
        <v>0</v>
      </c>
      <c r="Y237" s="771">
        <f>SUMIF(I237:I256,"전",K237:K256)</f>
        <v>0</v>
      </c>
      <c r="Z237" s="770">
        <f>COUNTIF(AJ237:AJ256,"전국")+COUNTIF(AJ237:AJ256,"전공")</f>
        <v>0</v>
      </c>
      <c r="AA237" s="771">
        <f>COUNTIF(AK237:AK256,"전국")+COUNTIF(AK237:AK256,"전공")</f>
        <v>0</v>
      </c>
      <c r="AB237" s="770" t="s">
        <v>26</v>
      </c>
      <c r="AC237" s="770">
        <f>SUMIF(AJ237:AJ256,"전국",F237:F256)+SUMIF(AJ237:AJ256,"전공",F237:F256)</f>
        <v>0</v>
      </c>
      <c r="AD237" s="771">
        <f>SUMIF(AK237:AK256,"전국",K237:K256)+SUMIF(AK237:AK256,"전공",K237:K256)</f>
        <v>0</v>
      </c>
      <c r="AE237" s="770">
        <f t="shared" ref="AE237:AE253" si="71">U237-Z237</f>
        <v>0</v>
      </c>
      <c r="AF237" s="771">
        <f t="shared" ref="AF237:AF253" si="72">V237-AA237</f>
        <v>0</v>
      </c>
      <c r="AG237" s="770" t="s">
        <v>26</v>
      </c>
      <c r="AH237" s="770">
        <f t="shared" ref="AH237:AH253" si="73">X237-AC237</f>
        <v>0</v>
      </c>
      <c r="AI237" s="771">
        <f t="shared" ref="AI237:AI253" si="74">Y237-AD237</f>
        <v>0</v>
      </c>
      <c r="AJ237" s="770" t="str">
        <f t="shared" ref="AJ237:AJ256" si="75">CONCATENATE(D237,L237)</f>
        <v/>
      </c>
      <c r="AK237" s="770" t="str">
        <f t="shared" ref="AK237:AK256" si="76">CONCATENATE(I237,L237)</f>
        <v/>
      </c>
      <c r="AL237" s="772"/>
      <c r="AM237" s="772"/>
    </row>
    <row r="238" spans="1:39" s="773" customFormat="1" ht="24" hidden="1" customHeight="1" x14ac:dyDescent="0.15">
      <c r="A238" s="884">
        <v>222</v>
      </c>
      <c r="B238" s="654"/>
      <c r="C238" s="933"/>
      <c r="D238" s="931"/>
      <c r="E238" s="958"/>
      <c r="F238" s="958"/>
      <c r="G238" s="942"/>
      <c r="H238" s="905"/>
      <c r="I238" s="905"/>
      <c r="J238" s="942"/>
      <c r="K238" s="930"/>
      <c r="L238" s="949"/>
      <c r="M238" s="949"/>
      <c r="N238" s="950"/>
      <c r="O238" s="950"/>
      <c r="P238" s="655"/>
      <c r="Q238" s="655"/>
      <c r="R238" s="655"/>
      <c r="S238" s="671"/>
      <c r="T238" s="770" t="s">
        <v>28</v>
      </c>
      <c r="U238" s="770">
        <f>COUNTIF(D237:D256,"답")</f>
        <v>0</v>
      </c>
      <c r="V238" s="771">
        <f>COUNTIF(I237:I256,"답")</f>
        <v>0</v>
      </c>
      <c r="W238" s="770" t="s">
        <v>26</v>
      </c>
      <c r="X238" s="770">
        <f>SUMIF(D237:D256,"답",F237:F256)</f>
        <v>0</v>
      </c>
      <c r="Y238" s="771">
        <f>SUMIF(I237:I256,"답",K237:K256)</f>
        <v>0</v>
      </c>
      <c r="Z238" s="770">
        <f>COUNTIF(AJ237:AJ256,"답국")+COUNTIF(AJ237:AJ256,"답공")</f>
        <v>0</v>
      </c>
      <c r="AA238" s="771">
        <f>COUNTIF(AK237:AK256,"답국")+COUNTIF(AK237:AK256,"답공")</f>
        <v>0</v>
      </c>
      <c r="AB238" s="770" t="s">
        <v>26</v>
      </c>
      <c r="AC238" s="770">
        <f>SUMIF(AJ237:AJ256,"답국",F237:F256)+SUMIF(AJ237:AJ256,"답공",F237:F256)</f>
        <v>0</v>
      </c>
      <c r="AD238" s="771">
        <f>SUMIF(AK237:AK256,"답국",K237:K256)+SUMIF(AK237:AK256,"답공",K237:K256)</f>
        <v>0</v>
      </c>
      <c r="AE238" s="770">
        <f t="shared" si="71"/>
        <v>0</v>
      </c>
      <c r="AF238" s="771">
        <f t="shared" si="72"/>
        <v>0</v>
      </c>
      <c r="AG238" s="770" t="s">
        <v>26</v>
      </c>
      <c r="AH238" s="770">
        <f t="shared" si="73"/>
        <v>0</v>
      </c>
      <c r="AI238" s="771">
        <f t="shared" si="74"/>
        <v>0</v>
      </c>
      <c r="AJ238" s="770" t="str">
        <f t="shared" si="75"/>
        <v/>
      </c>
      <c r="AK238" s="770" t="str">
        <f t="shared" si="76"/>
        <v/>
      </c>
      <c r="AL238" s="772"/>
      <c r="AM238" s="772"/>
    </row>
    <row r="239" spans="1:39" s="773" customFormat="1" ht="24" hidden="1" customHeight="1" x14ac:dyDescent="0.15">
      <c r="A239" s="884">
        <v>223</v>
      </c>
      <c r="B239" s="654"/>
      <c r="C239" s="931"/>
      <c r="D239" s="931"/>
      <c r="E239" s="964"/>
      <c r="F239" s="957"/>
      <c r="G239" s="942"/>
      <c r="H239" s="905"/>
      <c r="I239" s="905"/>
      <c r="J239" s="942"/>
      <c r="K239" s="930"/>
      <c r="L239" s="949"/>
      <c r="M239" s="949"/>
      <c r="N239" s="950"/>
      <c r="O239" s="950"/>
      <c r="P239" s="655"/>
      <c r="Q239" s="655"/>
      <c r="R239" s="655"/>
      <c r="S239" s="671"/>
      <c r="T239" s="770" t="s">
        <v>44</v>
      </c>
      <c r="U239" s="770">
        <f>COUNTIF(D237:D256,"임")</f>
        <v>0</v>
      </c>
      <c r="V239" s="771">
        <f>COUNTIF(I237:I256,"임")</f>
        <v>0</v>
      </c>
      <c r="W239" s="770" t="s">
        <v>26</v>
      </c>
      <c r="X239" s="770">
        <f>SUMIF(D237:D256,"임",F237:F256)</f>
        <v>0</v>
      </c>
      <c r="Y239" s="771">
        <f>SUMIF(I237:I256,"임",K237:K256)</f>
        <v>0</v>
      </c>
      <c r="Z239" s="770">
        <f>COUNTIF(AJ237:AJ256,"임국")+COUNTIF(AJ237:AJ256,"임공")</f>
        <v>0</v>
      </c>
      <c r="AA239" s="771">
        <f>COUNTIF(AK237:AK256,"임국")+COUNTIF(AK237:AK256,"임공")</f>
        <v>0</v>
      </c>
      <c r="AB239" s="770" t="s">
        <v>26</v>
      </c>
      <c r="AC239" s="770">
        <f>SUMIF(AJ237:AJ256,"임국",F237:F256)+SUMIF(AJ237:AJ256,"임공",F237:F256)</f>
        <v>0</v>
      </c>
      <c r="AD239" s="771">
        <f>SUMIF(AK237:AK256,"임국",K237:K256)+SUMIF(AK237:AK256,"임공",K237:K256)</f>
        <v>0</v>
      </c>
      <c r="AE239" s="770">
        <f t="shared" si="71"/>
        <v>0</v>
      </c>
      <c r="AF239" s="771">
        <f t="shared" si="72"/>
        <v>0</v>
      </c>
      <c r="AG239" s="770" t="s">
        <v>26</v>
      </c>
      <c r="AH239" s="770">
        <f t="shared" si="73"/>
        <v>0</v>
      </c>
      <c r="AI239" s="771">
        <f t="shared" si="74"/>
        <v>0</v>
      </c>
      <c r="AJ239" s="770" t="str">
        <f t="shared" si="75"/>
        <v/>
      </c>
      <c r="AK239" s="770" t="str">
        <f t="shared" si="76"/>
        <v/>
      </c>
      <c r="AL239" s="772"/>
      <c r="AM239" s="772"/>
    </row>
    <row r="240" spans="1:39" s="773" customFormat="1" ht="24" hidden="1" customHeight="1" x14ac:dyDescent="0.15">
      <c r="A240" s="884">
        <v>224</v>
      </c>
      <c r="B240" s="654"/>
      <c r="C240" s="931"/>
      <c r="D240" s="931"/>
      <c r="E240" s="957"/>
      <c r="F240" s="957"/>
      <c r="G240" s="942"/>
      <c r="H240" s="905"/>
      <c r="I240" s="905"/>
      <c r="J240" s="942"/>
      <c r="K240" s="930"/>
      <c r="L240" s="949"/>
      <c r="M240" s="949"/>
      <c r="N240" s="950"/>
      <c r="O240" s="950"/>
      <c r="P240" s="655"/>
      <c r="Q240" s="655"/>
      <c r="R240" s="655"/>
      <c r="S240" s="671"/>
      <c r="T240" s="770" t="s">
        <v>45</v>
      </c>
      <c r="U240" s="770">
        <f>COUNTIF(D237:D256,"대")</f>
        <v>0</v>
      </c>
      <c r="V240" s="771">
        <f>COUNTIF(I237:I256,"대")</f>
        <v>0</v>
      </c>
      <c r="W240" s="770" t="s">
        <v>26</v>
      </c>
      <c r="X240" s="770">
        <f>SUMIF(D237:D256,"대",F237:F256)</f>
        <v>0</v>
      </c>
      <c r="Y240" s="771">
        <f>SUMIF(I237:I256,"대",K237:K256)</f>
        <v>0</v>
      </c>
      <c r="Z240" s="770">
        <f>COUNTIF(AJ237:AJ256,"대국")+COUNTIF(AJ237:AJ256,"대공")</f>
        <v>0</v>
      </c>
      <c r="AA240" s="771">
        <f>COUNTIF(AK237:AK256,"대국")+COUNTIF(AK237:AK256,"대공")</f>
        <v>0</v>
      </c>
      <c r="AB240" s="770" t="s">
        <v>26</v>
      </c>
      <c r="AC240" s="770">
        <f>SUMIF(AJ237:AJ256,"대국",F237:F256)+SUMIF(AJ237:AJ256,"대공",F237:F256)</f>
        <v>0</v>
      </c>
      <c r="AD240" s="771">
        <f>SUMIF(AK237:AK256,"대국",K237:K256)+SUMIF(AK237:AK256,"대공",K237:K256)</f>
        <v>0</v>
      </c>
      <c r="AE240" s="770">
        <f t="shared" si="71"/>
        <v>0</v>
      </c>
      <c r="AF240" s="771">
        <f t="shared" si="72"/>
        <v>0</v>
      </c>
      <c r="AG240" s="770" t="s">
        <v>26</v>
      </c>
      <c r="AH240" s="770">
        <f t="shared" si="73"/>
        <v>0</v>
      </c>
      <c r="AI240" s="771">
        <f t="shared" si="74"/>
        <v>0</v>
      </c>
      <c r="AJ240" s="770" t="str">
        <f t="shared" si="75"/>
        <v/>
      </c>
      <c r="AK240" s="770" t="str">
        <f t="shared" si="76"/>
        <v/>
      </c>
      <c r="AL240" s="772"/>
      <c r="AM240" s="772"/>
    </row>
    <row r="241" spans="1:39" s="773" customFormat="1" ht="24" hidden="1" customHeight="1" x14ac:dyDescent="0.15">
      <c r="A241" s="884">
        <v>225</v>
      </c>
      <c r="B241" s="654"/>
      <c r="C241" s="931"/>
      <c r="D241" s="931"/>
      <c r="E241" s="957"/>
      <c r="F241" s="957"/>
      <c r="G241" s="942"/>
      <c r="H241" s="905"/>
      <c r="I241" s="905"/>
      <c r="J241" s="942"/>
      <c r="K241" s="930"/>
      <c r="L241" s="949"/>
      <c r="M241" s="949"/>
      <c r="N241" s="950"/>
      <c r="O241" s="950"/>
      <c r="P241" s="655"/>
      <c r="Q241" s="655"/>
      <c r="R241" s="655"/>
      <c r="S241" s="671"/>
      <c r="T241" s="770" t="s">
        <v>31</v>
      </c>
      <c r="U241" s="770">
        <f>COUNTIF(D237:D256,"도")</f>
        <v>0</v>
      </c>
      <c r="V241" s="771">
        <f>COUNTIF(I237:I256,"도")</f>
        <v>0</v>
      </c>
      <c r="W241" s="770" t="s">
        <v>26</v>
      </c>
      <c r="X241" s="770">
        <f>SUMIF(D237:D256,"도",F237:F256)</f>
        <v>0</v>
      </c>
      <c r="Y241" s="771">
        <f>SUMIF(I237:I256,"도",K237:K256)</f>
        <v>0</v>
      </c>
      <c r="Z241" s="770">
        <f>COUNTIF(AJ237:AJ256,"도국")+COUNTIF(AJ237:AJ256,"도공")</f>
        <v>0</v>
      </c>
      <c r="AA241" s="771">
        <f>COUNTIF(AK237:AK256,"도국")+COUNTIF(AK237:AK256,"도공")</f>
        <v>0</v>
      </c>
      <c r="AB241" s="770" t="s">
        <v>26</v>
      </c>
      <c r="AC241" s="770">
        <f>SUMIF(AJ237:AJ256,"도국",F237:F256)+SUMIF(AJ237:AJ256,"도공",F237:F256)</f>
        <v>0</v>
      </c>
      <c r="AD241" s="771">
        <f>SUMIF(AK237:AK256,"도국",K237:K256)+SUMIF(AK237:AK256,"도공",K237:K256)</f>
        <v>0</v>
      </c>
      <c r="AE241" s="770">
        <f t="shared" si="71"/>
        <v>0</v>
      </c>
      <c r="AF241" s="771">
        <f t="shared" si="72"/>
        <v>0</v>
      </c>
      <c r="AG241" s="770" t="s">
        <v>26</v>
      </c>
      <c r="AH241" s="770">
        <f t="shared" si="73"/>
        <v>0</v>
      </c>
      <c r="AI241" s="771">
        <f t="shared" si="74"/>
        <v>0</v>
      </c>
      <c r="AJ241" s="770" t="str">
        <f t="shared" si="75"/>
        <v/>
      </c>
      <c r="AK241" s="770" t="str">
        <f t="shared" si="76"/>
        <v/>
      </c>
      <c r="AL241" s="772"/>
      <c r="AM241" s="772"/>
    </row>
    <row r="242" spans="1:39" s="773" customFormat="1" ht="24" hidden="1" customHeight="1" x14ac:dyDescent="0.15">
      <c r="A242" s="884">
        <v>226</v>
      </c>
      <c r="B242" s="654"/>
      <c r="C242" s="931"/>
      <c r="D242" s="931"/>
      <c r="E242" s="957"/>
      <c r="F242" s="957"/>
      <c r="G242" s="942"/>
      <c r="H242" s="905"/>
      <c r="I242" s="905"/>
      <c r="J242" s="942"/>
      <c r="K242" s="930"/>
      <c r="L242" s="949"/>
      <c r="M242" s="949"/>
      <c r="N242" s="950"/>
      <c r="O242" s="950"/>
      <c r="P242" s="655"/>
      <c r="Q242" s="655"/>
      <c r="R242" s="655"/>
      <c r="S242" s="671"/>
      <c r="T242" s="770" t="s">
        <v>32</v>
      </c>
      <c r="U242" s="786">
        <f>COUNTIF(D237:D256,"천")</f>
        <v>0</v>
      </c>
      <c r="V242" s="787">
        <f>COUNTIF(I237:I256,"천")</f>
        <v>0</v>
      </c>
      <c r="W242" s="770" t="s">
        <v>26</v>
      </c>
      <c r="X242" s="770">
        <f>SUMIF(D237:D256,"천",F237:F256)</f>
        <v>0</v>
      </c>
      <c r="Y242" s="771">
        <f>SUMIF(I237:I256,"천",K237:K256)</f>
        <v>0</v>
      </c>
      <c r="Z242" s="770">
        <f>COUNTIF(AJ237:AJ256,"천국")+COUNTIF(AJ237:AJ256,"천공")</f>
        <v>0</v>
      </c>
      <c r="AA242" s="771">
        <f>COUNTIF(AK237:AK256,"천국")+COUNTIF(AK237:AK256,"천공")</f>
        <v>0</v>
      </c>
      <c r="AB242" s="770" t="s">
        <v>26</v>
      </c>
      <c r="AC242" s="770">
        <f>SUMIF(AJ237:AJ256,"천국",F237:F256)+SUMIF(AJ237:AJ256,"천공",F237:F256)</f>
        <v>0</v>
      </c>
      <c r="AD242" s="771">
        <f>SUMIF(AK237:AK256,"천국",K237:K256)+SUMIF(AK237:AK256,"천공",K237:K256)</f>
        <v>0</v>
      </c>
      <c r="AE242" s="770">
        <f t="shared" si="71"/>
        <v>0</v>
      </c>
      <c r="AF242" s="771">
        <f t="shared" si="72"/>
        <v>0</v>
      </c>
      <c r="AG242" s="770" t="s">
        <v>26</v>
      </c>
      <c r="AH242" s="770">
        <f t="shared" si="73"/>
        <v>0</v>
      </c>
      <c r="AI242" s="771">
        <f t="shared" si="74"/>
        <v>0</v>
      </c>
      <c r="AJ242" s="770" t="str">
        <f t="shared" si="75"/>
        <v/>
      </c>
      <c r="AK242" s="770" t="str">
        <f t="shared" si="76"/>
        <v/>
      </c>
      <c r="AL242" s="772"/>
      <c r="AM242" s="772"/>
    </row>
    <row r="243" spans="1:39" s="773" customFormat="1" ht="24" hidden="1" customHeight="1" x14ac:dyDescent="0.15">
      <c r="A243" s="884">
        <v>227</v>
      </c>
      <c r="B243" s="654"/>
      <c r="C243" s="931"/>
      <c r="D243" s="931"/>
      <c r="E243" s="957"/>
      <c r="F243" s="957"/>
      <c r="G243" s="942"/>
      <c r="H243" s="905"/>
      <c r="I243" s="905"/>
      <c r="J243" s="942"/>
      <c r="K243" s="930"/>
      <c r="L243" s="949"/>
      <c r="M243" s="949"/>
      <c r="N243" s="950"/>
      <c r="O243" s="950"/>
      <c r="P243" s="655"/>
      <c r="Q243" s="655"/>
      <c r="R243" s="655"/>
      <c r="S243" s="671"/>
      <c r="T243" s="770" t="s">
        <v>33</v>
      </c>
      <c r="U243" s="770">
        <f>COUNTIF(D237:D256,"구")</f>
        <v>0</v>
      </c>
      <c r="V243" s="771">
        <f>COUNTIF(I237:I256,"구")</f>
        <v>0</v>
      </c>
      <c r="W243" s="770" t="s">
        <v>26</v>
      </c>
      <c r="X243" s="770">
        <f>SUMIF(D237:D256,"구",F237:F256)</f>
        <v>0</v>
      </c>
      <c r="Y243" s="771">
        <f>SUMIF(I237:I256,"구",K237:K256)</f>
        <v>0</v>
      </c>
      <c r="Z243" s="770">
        <f>COUNTIF(AJ237:AJ256,"구국")+COUNTIF(AJ237:AJ256,"구공")</f>
        <v>0</v>
      </c>
      <c r="AA243" s="771">
        <f>COUNTIF(AK237:AK256,"구국")+COUNTIF(AK237:AK256,"구공")</f>
        <v>0</v>
      </c>
      <c r="AB243" s="770" t="s">
        <v>26</v>
      </c>
      <c r="AC243" s="770">
        <f>SUMIF(AJ237:AJ256,"구국",F237:F256)+SUMIF(AJ237:AJ256,"구공",F237:F256)</f>
        <v>0</v>
      </c>
      <c r="AD243" s="771">
        <f>SUMIF(AK237:AK256,"구국",K237:K256)+SUMIF(AK237:AK256,"구공",K237:K256)</f>
        <v>0</v>
      </c>
      <c r="AE243" s="770">
        <f t="shared" si="71"/>
        <v>0</v>
      </c>
      <c r="AF243" s="771">
        <f t="shared" si="72"/>
        <v>0</v>
      </c>
      <c r="AG243" s="770" t="s">
        <v>26</v>
      </c>
      <c r="AH243" s="770">
        <f t="shared" si="73"/>
        <v>0</v>
      </c>
      <c r="AI243" s="771">
        <f t="shared" si="74"/>
        <v>0</v>
      </c>
      <c r="AJ243" s="770" t="str">
        <f t="shared" si="75"/>
        <v/>
      </c>
      <c r="AK243" s="770" t="str">
        <f t="shared" si="76"/>
        <v/>
      </c>
      <c r="AL243" s="772"/>
      <c r="AM243" s="772"/>
    </row>
    <row r="244" spans="1:39" s="773" customFormat="1" ht="24" hidden="1" customHeight="1" x14ac:dyDescent="0.15">
      <c r="A244" s="884">
        <v>228</v>
      </c>
      <c r="B244" s="654"/>
      <c r="C244" s="931"/>
      <c r="D244" s="931"/>
      <c r="E244" s="957"/>
      <c r="F244" s="957"/>
      <c r="G244" s="942"/>
      <c r="H244" s="905"/>
      <c r="I244" s="905"/>
      <c r="J244" s="942"/>
      <c r="K244" s="930"/>
      <c r="L244" s="949"/>
      <c r="M244" s="949"/>
      <c r="N244" s="950"/>
      <c r="O244" s="950"/>
      <c r="P244" s="655"/>
      <c r="Q244" s="655"/>
      <c r="R244" s="655"/>
      <c r="S244" s="671"/>
      <c r="T244" s="770" t="s">
        <v>34</v>
      </c>
      <c r="U244" s="770">
        <f>COUNTIF(D237:D256,"제")</f>
        <v>0</v>
      </c>
      <c r="V244" s="771">
        <f>COUNTIF(I237:I256,"제")</f>
        <v>0</v>
      </c>
      <c r="W244" s="770" t="s">
        <v>26</v>
      </c>
      <c r="X244" s="770">
        <f>SUMIF(D237:D256,"제",F237:F256)</f>
        <v>0</v>
      </c>
      <c r="Y244" s="771">
        <f>SUMIF(I237:I256,"제",K237:K256)</f>
        <v>0</v>
      </c>
      <c r="Z244" s="770">
        <f>COUNTIF(AJ237:AJ256,"제국")+COUNTIF(AJ237:AJ256,"제공")</f>
        <v>0</v>
      </c>
      <c r="AA244" s="771">
        <f>COUNTIF(AK237:AK256,"제국")+COUNTIF(AK237:AK256,"제공")</f>
        <v>0</v>
      </c>
      <c r="AB244" s="770" t="s">
        <v>26</v>
      </c>
      <c r="AC244" s="770">
        <f>SUMIF(AJ237:AJ256,"제국",F237:F256)+SUMIF(AJ237:AJ256,"제공",F237:F256)</f>
        <v>0</v>
      </c>
      <c r="AD244" s="771">
        <f>SUMIF(AK237:AK256,"제국",K237:K256)+SUMIF(AK237:AK256,"제공",K237:K256)</f>
        <v>0</v>
      </c>
      <c r="AE244" s="770">
        <f t="shared" si="71"/>
        <v>0</v>
      </c>
      <c r="AF244" s="771">
        <f t="shared" si="72"/>
        <v>0</v>
      </c>
      <c r="AG244" s="770" t="s">
        <v>26</v>
      </c>
      <c r="AH244" s="770">
        <f t="shared" si="73"/>
        <v>0</v>
      </c>
      <c r="AI244" s="771">
        <f t="shared" si="74"/>
        <v>0</v>
      </c>
      <c r="AJ244" s="770" t="str">
        <f t="shared" si="75"/>
        <v/>
      </c>
      <c r="AK244" s="770" t="str">
        <f t="shared" si="76"/>
        <v/>
      </c>
      <c r="AL244" s="772"/>
      <c r="AM244" s="772"/>
    </row>
    <row r="245" spans="1:39" s="773" customFormat="1" ht="24" hidden="1" customHeight="1" x14ac:dyDescent="0.15">
      <c r="A245" s="884">
        <v>229</v>
      </c>
      <c r="B245" s="654"/>
      <c r="C245" s="965"/>
      <c r="D245" s="654"/>
      <c r="E245" s="966"/>
      <c r="F245" s="966"/>
      <c r="G245" s="944"/>
      <c r="H245" s="906"/>
      <c r="I245" s="906"/>
      <c r="J245" s="944"/>
      <c r="K245" s="945"/>
      <c r="L245" s="946"/>
      <c r="M245" s="946"/>
      <c r="N245" s="948"/>
      <c r="O245" s="948"/>
      <c r="P245" s="892"/>
      <c r="Q245" s="892"/>
      <c r="R245" s="892"/>
      <c r="S245" s="671"/>
      <c r="T245" s="770" t="s">
        <v>46</v>
      </c>
      <c r="U245" s="770">
        <f>COUNTIF(D237:D256,"유")</f>
        <v>0</v>
      </c>
      <c r="V245" s="771">
        <f>COUNTIF(I237:I256,"유")</f>
        <v>0</v>
      </c>
      <c r="W245" s="770" t="s">
        <v>26</v>
      </c>
      <c r="X245" s="770">
        <f>SUMIF(D237:D256,"유",F237:F256)</f>
        <v>0</v>
      </c>
      <c r="Y245" s="771">
        <f>SUMIF(I237:I256,"유",K237:K256)</f>
        <v>0</v>
      </c>
      <c r="Z245" s="770">
        <f>COUNTIF(AJ237:AJ256,"유국")+COUNTIF(AJ237:AJ256,"유공")</f>
        <v>0</v>
      </c>
      <c r="AA245" s="771">
        <f>COUNTIF(AK237:AK256,"유국")+COUNTIF(AK237:AK256,"유공")</f>
        <v>0</v>
      </c>
      <c r="AB245" s="770" t="s">
        <v>26</v>
      </c>
      <c r="AC245" s="770">
        <f>SUMIF(AJ237:AJ256,"유국",F237:F256)+SUMIF(AJ237:AJ256,"유공",F237:F256)</f>
        <v>0</v>
      </c>
      <c r="AD245" s="771">
        <f>SUMIF(AK237:AK256,"유국",K237:K256)+SUMIF(AK237:AK256,"유공",K237:K256)</f>
        <v>0</v>
      </c>
      <c r="AE245" s="770">
        <f t="shared" si="71"/>
        <v>0</v>
      </c>
      <c r="AF245" s="771">
        <f t="shared" si="72"/>
        <v>0</v>
      </c>
      <c r="AG245" s="770" t="s">
        <v>26</v>
      </c>
      <c r="AH245" s="770">
        <f t="shared" si="73"/>
        <v>0</v>
      </c>
      <c r="AI245" s="771">
        <f t="shared" si="74"/>
        <v>0</v>
      </c>
      <c r="AJ245" s="770" t="str">
        <f t="shared" si="75"/>
        <v/>
      </c>
      <c r="AK245" s="770" t="str">
        <f t="shared" si="76"/>
        <v/>
      </c>
      <c r="AL245" s="772"/>
      <c r="AM245" s="772"/>
    </row>
    <row r="246" spans="1:39" s="773" customFormat="1" ht="24" hidden="1" customHeight="1" x14ac:dyDescent="0.15">
      <c r="A246" s="884">
        <v>230</v>
      </c>
      <c r="B246" s="654"/>
      <c r="C246" s="967"/>
      <c r="D246" s="967"/>
      <c r="E246" s="968"/>
      <c r="F246" s="968"/>
      <c r="G246" s="942"/>
      <c r="H246" s="905"/>
      <c r="I246" s="905"/>
      <c r="J246" s="942"/>
      <c r="K246" s="930"/>
      <c r="L246" s="969"/>
      <c r="M246" s="949"/>
      <c r="N246" s="951"/>
      <c r="O246" s="950"/>
      <c r="P246" s="655"/>
      <c r="Q246" s="655"/>
      <c r="R246" s="655"/>
      <c r="S246" s="671"/>
      <c r="T246" s="770" t="s">
        <v>47</v>
      </c>
      <c r="U246" s="770">
        <f>COUNTIF(D237:D256,"과")</f>
        <v>0</v>
      </c>
      <c r="V246" s="771">
        <f>COUNTIF(I237:I256,"과")</f>
        <v>0</v>
      </c>
      <c r="W246" s="770" t="s">
        <v>26</v>
      </c>
      <c r="X246" s="770">
        <f>SUMIF(D237:D256,"과",F237:F256)</f>
        <v>0</v>
      </c>
      <c r="Y246" s="771">
        <f>SUMIF(I237:I256,"과",K237:K256)</f>
        <v>0</v>
      </c>
      <c r="Z246" s="770">
        <f>COUNTIF(AJ237:AJ256,"과국")+COUNTIF(AJ237:AJ256,"과공")</f>
        <v>0</v>
      </c>
      <c r="AA246" s="771">
        <f>COUNTIF(AK237:AK256,"과국")+COUNTIF(AK237:AK256,"과공")</f>
        <v>0</v>
      </c>
      <c r="AB246" s="770" t="s">
        <v>26</v>
      </c>
      <c r="AC246" s="770">
        <f>SUMIF(AJ237:AJ256,"과국",F237:F256)+SUMIF(AJ237:AJ256,"과공",F237:F256)</f>
        <v>0</v>
      </c>
      <c r="AD246" s="771">
        <f>SUMIF(AK237:AK256,"과국",K237:K256)+SUMIF(AK237:AK256,"과공",K237:K256)</f>
        <v>0</v>
      </c>
      <c r="AE246" s="770">
        <f t="shared" si="71"/>
        <v>0</v>
      </c>
      <c r="AF246" s="771">
        <f t="shared" si="72"/>
        <v>0</v>
      </c>
      <c r="AG246" s="770" t="s">
        <v>26</v>
      </c>
      <c r="AH246" s="770">
        <f t="shared" si="73"/>
        <v>0</v>
      </c>
      <c r="AI246" s="771">
        <f t="shared" si="74"/>
        <v>0</v>
      </c>
      <c r="AJ246" s="770" t="str">
        <f t="shared" si="75"/>
        <v/>
      </c>
      <c r="AK246" s="770" t="str">
        <f t="shared" si="76"/>
        <v/>
      </c>
      <c r="AL246" s="772"/>
      <c r="AM246" s="772"/>
    </row>
    <row r="247" spans="1:39" s="773" customFormat="1" ht="24" hidden="1" customHeight="1" x14ac:dyDescent="0.15">
      <c r="A247" s="884">
        <v>231</v>
      </c>
      <c r="B247" s="654"/>
      <c r="C247" s="931"/>
      <c r="D247" s="931"/>
      <c r="E247" s="957"/>
      <c r="F247" s="957"/>
      <c r="G247" s="942"/>
      <c r="H247" s="905"/>
      <c r="I247" s="905"/>
      <c r="J247" s="942"/>
      <c r="K247" s="930"/>
      <c r="L247" s="949"/>
      <c r="M247" s="949"/>
      <c r="N247" s="950"/>
      <c r="O247" s="950"/>
      <c r="P247" s="655"/>
      <c r="Q247" s="655"/>
      <c r="R247" s="655"/>
      <c r="S247" s="671"/>
      <c r="T247" s="770" t="s">
        <v>36</v>
      </c>
      <c r="U247" s="770">
        <f>COUNTIF(D237:D256,"묘")</f>
        <v>0</v>
      </c>
      <c r="V247" s="771">
        <f>COUNTIF(I237:I256,"묘")</f>
        <v>0</v>
      </c>
      <c r="W247" s="770" t="s">
        <v>26</v>
      </c>
      <c r="X247" s="770">
        <f>SUMIF(D237:D256,"묘",F237:F256)</f>
        <v>0</v>
      </c>
      <c r="Y247" s="771">
        <f>SUMIF(I237:I256,"묘",K237:K256)</f>
        <v>0</v>
      </c>
      <c r="Z247" s="770">
        <f>COUNTIF(AJ237:AJ256,"묘국")+COUNTIF(AJ237:AJ256,"묘공")</f>
        <v>0</v>
      </c>
      <c r="AA247" s="771">
        <f>COUNTIF(AK237:AK256,"묘국")+COUNTIF(AK237:AK256,"묘공")</f>
        <v>0</v>
      </c>
      <c r="AB247" s="770" t="s">
        <v>26</v>
      </c>
      <c r="AC247" s="770">
        <f>SUMIF(AJ237:AJ256,"묘국",F237:F256)+SUMIF(AJ237:AJ256,"묘공",F237:F256)</f>
        <v>0</v>
      </c>
      <c r="AD247" s="771">
        <f>SUMIF(AK237:AK256,"묘국",K237:K256)+SUMIF(AK237:AK256,"묘공",K237:K256)</f>
        <v>0</v>
      </c>
      <c r="AE247" s="770">
        <f t="shared" si="71"/>
        <v>0</v>
      </c>
      <c r="AF247" s="771">
        <f t="shared" si="72"/>
        <v>0</v>
      </c>
      <c r="AG247" s="770" t="s">
        <v>26</v>
      </c>
      <c r="AH247" s="770">
        <f t="shared" si="73"/>
        <v>0</v>
      </c>
      <c r="AI247" s="771">
        <f t="shared" si="74"/>
        <v>0</v>
      </c>
      <c r="AJ247" s="770" t="str">
        <f t="shared" si="75"/>
        <v/>
      </c>
      <c r="AK247" s="770" t="str">
        <f t="shared" si="76"/>
        <v/>
      </c>
      <c r="AL247" s="772"/>
      <c r="AM247" s="772"/>
    </row>
    <row r="248" spans="1:39" s="773" customFormat="1" ht="24" hidden="1" customHeight="1" x14ac:dyDescent="0.15">
      <c r="A248" s="884">
        <v>232</v>
      </c>
      <c r="B248" s="654"/>
      <c r="C248" s="931"/>
      <c r="D248" s="931"/>
      <c r="E248" s="957"/>
      <c r="F248" s="957"/>
      <c r="G248" s="943"/>
      <c r="H248" s="905"/>
      <c r="I248" s="905"/>
      <c r="J248" s="943"/>
      <c r="K248" s="930"/>
      <c r="L248" s="969"/>
      <c r="M248" s="949"/>
      <c r="N248" s="951"/>
      <c r="O248" s="950"/>
      <c r="P248" s="655"/>
      <c r="Q248" s="655"/>
      <c r="R248" s="655"/>
      <c r="S248" s="671"/>
      <c r="T248" s="770" t="s">
        <v>39</v>
      </c>
      <c r="U248" s="770">
        <f>COUNTIF(D237:D256,"수")</f>
        <v>0</v>
      </c>
      <c r="V248" s="771">
        <f>COUNTIF(I237:I256,"수")</f>
        <v>0</v>
      </c>
      <c r="W248" s="770" t="s">
        <v>26</v>
      </c>
      <c r="X248" s="770">
        <f>SUMIF(D237:D256,"수",F237:F256)</f>
        <v>0</v>
      </c>
      <c r="Y248" s="771">
        <f>SUMIF(I237:I256,"수",K237:K256)</f>
        <v>0</v>
      </c>
      <c r="Z248" s="770">
        <f>COUNTIF(AJ237:AJ256,"수국")+COUNTIF(AJ237:AJ256,"수공")</f>
        <v>0</v>
      </c>
      <c r="AA248" s="771">
        <f>COUNTIF(AK237:AK256,"수국")+COUNTIF(AK237:AK256,"수공")</f>
        <v>0</v>
      </c>
      <c r="AB248" s="770" t="s">
        <v>26</v>
      </c>
      <c r="AC248" s="770">
        <f>SUMIF(AJ237:AJ256,"수국",F237:F256)+SUMIF(AJ237:AJ256,"수공",F237:F256)</f>
        <v>0</v>
      </c>
      <c r="AD248" s="771">
        <f>SUMIF(AK237:AK256,"수국",K237:K256)+SUMIF(AK237:AK256,"수공",K237:K256)</f>
        <v>0</v>
      </c>
      <c r="AE248" s="770">
        <f t="shared" si="71"/>
        <v>0</v>
      </c>
      <c r="AF248" s="771">
        <f t="shared" si="72"/>
        <v>0</v>
      </c>
      <c r="AG248" s="770" t="s">
        <v>26</v>
      </c>
      <c r="AH248" s="770">
        <f t="shared" si="73"/>
        <v>0</v>
      </c>
      <c r="AI248" s="771">
        <f t="shared" si="74"/>
        <v>0</v>
      </c>
      <c r="AJ248" s="770" t="str">
        <f t="shared" si="75"/>
        <v/>
      </c>
      <c r="AK248" s="770" t="str">
        <f t="shared" si="76"/>
        <v/>
      </c>
      <c r="AL248" s="772"/>
      <c r="AM248" s="772"/>
    </row>
    <row r="249" spans="1:39" s="773" customFormat="1" ht="24" hidden="1" customHeight="1" x14ac:dyDescent="0.15">
      <c r="A249" s="884">
        <v>233</v>
      </c>
      <c r="B249" s="654"/>
      <c r="C249" s="965"/>
      <c r="D249" s="654"/>
      <c r="E249" s="970"/>
      <c r="F249" s="970"/>
      <c r="G249" s="942"/>
      <c r="H249" s="905"/>
      <c r="I249" s="905"/>
      <c r="J249" s="942"/>
      <c r="K249" s="930"/>
      <c r="L249" s="949"/>
      <c r="M249" s="949"/>
      <c r="N249" s="950"/>
      <c r="O249" s="950"/>
      <c r="P249" s="655"/>
      <c r="Q249" s="655"/>
      <c r="R249" s="655"/>
      <c r="S249" s="671"/>
      <c r="T249" s="770" t="s">
        <v>35</v>
      </c>
      <c r="U249" s="770">
        <f>COUNTIF(D237:D256,"잡")</f>
        <v>0</v>
      </c>
      <c r="V249" s="771">
        <f>COUNTIF(I237:I256,"잡")</f>
        <v>0</v>
      </c>
      <c r="W249" s="770" t="s">
        <v>26</v>
      </c>
      <c r="X249" s="770">
        <f>SUMIF(D237:D256,"잡",F237:F256)</f>
        <v>0</v>
      </c>
      <c r="Y249" s="771">
        <f>SUMIF(I237:I256,"잡",K237:K256)</f>
        <v>0</v>
      </c>
      <c r="Z249" s="770">
        <f>COUNTIF(AJ237:AJ256,"잡국")+COUNTIF(AJ237:AJ256,"잡공")</f>
        <v>0</v>
      </c>
      <c r="AA249" s="771">
        <f>COUNTIF(AK237:AK256,"잡국")+COUNTIF(AK237:AK256,"잡공")</f>
        <v>0</v>
      </c>
      <c r="AB249" s="770" t="s">
        <v>26</v>
      </c>
      <c r="AC249" s="770">
        <f>SUMIF(AJ237:AJ256,"잡국",F237:F256)+SUMIF(AJ237:AJ256,"잡공",F237:F256)</f>
        <v>0</v>
      </c>
      <c r="AD249" s="771">
        <f>SUMIF(AK237:AK256,"잡국",K237:K256)+SUMIF(AK237:AK256,"잡공",K237:K256)</f>
        <v>0</v>
      </c>
      <c r="AE249" s="770">
        <f t="shared" si="71"/>
        <v>0</v>
      </c>
      <c r="AF249" s="771">
        <f t="shared" si="72"/>
        <v>0</v>
      </c>
      <c r="AG249" s="770" t="s">
        <v>26</v>
      </c>
      <c r="AH249" s="770">
        <f t="shared" si="73"/>
        <v>0</v>
      </c>
      <c r="AI249" s="771">
        <f t="shared" si="74"/>
        <v>0</v>
      </c>
      <c r="AJ249" s="770" t="str">
        <f t="shared" si="75"/>
        <v/>
      </c>
      <c r="AK249" s="770" t="str">
        <f t="shared" si="76"/>
        <v/>
      </c>
      <c r="AL249" s="772"/>
      <c r="AM249" s="772"/>
    </row>
    <row r="250" spans="1:39" s="773" customFormat="1" ht="24" hidden="1" customHeight="1" x14ac:dyDescent="0.15">
      <c r="A250" s="884">
        <v>234</v>
      </c>
      <c r="B250" s="654"/>
      <c r="C250" s="965"/>
      <c r="D250" s="654"/>
      <c r="E250" s="966"/>
      <c r="F250" s="966"/>
      <c r="G250" s="943"/>
      <c r="H250" s="905"/>
      <c r="I250" s="905"/>
      <c r="J250" s="943"/>
      <c r="K250" s="930"/>
      <c r="L250" s="949"/>
      <c r="M250" s="949"/>
      <c r="N250" s="950"/>
      <c r="O250" s="950"/>
      <c r="P250" s="655"/>
      <c r="Q250" s="655"/>
      <c r="R250" s="655"/>
      <c r="S250" s="671"/>
      <c r="T250" s="770" t="s">
        <v>51</v>
      </c>
      <c r="U250" s="770">
        <f>COUNTIF(D237:D256,"체")</f>
        <v>0</v>
      </c>
      <c r="V250" s="771">
        <f>COUNTIF(I237:I256,"체")</f>
        <v>0</v>
      </c>
      <c r="W250" s="770" t="s">
        <v>26</v>
      </c>
      <c r="X250" s="770">
        <f>SUMIF(D237:D256,"체",F237:F256)</f>
        <v>0</v>
      </c>
      <c r="Y250" s="771">
        <f>SUMIF(I237:I256,"체",K237:K256)</f>
        <v>0</v>
      </c>
      <c r="Z250" s="770">
        <f>COUNTIF(AJ237:AJ256,"체국")+COUNTIF(AJ237:AJ256,"체공")</f>
        <v>0</v>
      </c>
      <c r="AA250" s="771">
        <f>COUNTIF(AK237:AK256,"체국")+COUNTIF(AK237:AK256,"체공")</f>
        <v>0</v>
      </c>
      <c r="AB250" s="770" t="s">
        <v>26</v>
      </c>
      <c r="AC250" s="770">
        <f>SUMIF(AJ237:AJ256,"체국",F237:F256)+SUMIF(AJ237:AJ256,"체공",F237:F256)</f>
        <v>0</v>
      </c>
      <c r="AD250" s="771">
        <f>SUMIF(AK237:AK256,"체국",K237:K256)+SUMIF(AK237:AK256,"체공",K237:K256)</f>
        <v>0</v>
      </c>
      <c r="AE250" s="770">
        <f t="shared" si="71"/>
        <v>0</v>
      </c>
      <c r="AF250" s="771">
        <f t="shared" si="72"/>
        <v>0</v>
      </c>
      <c r="AG250" s="770" t="s">
        <v>26</v>
      </c>
      <c r="AH250" s="770">
        <f t="shared" si="73"/>
        <v>0</v>
      </c>
      <c r="AI250" s="771">
        <f t="shared" si="74"/>
        <v>0</v>
      </c>
      <c r="AJ250" s="770" t="str">
        <f t="shared" si="75"/>
        <v/>
      </c>
      <c r="AK250" s="770" t="str">
        <f t="shared" si="76"/>
        <v/>
      </c>
      <c r="AL250" s="772"/>
      <c r="AM250" s="772"/>
    </row>
    <row r="251" spans="1:39" s="773" customFormat="1" ht="24" hidden="1" customHeight="1" x14ac:dyDescent="0.15">
      <c r="A251" s="884">
        <v>235</v>
      </c>
      <c r="B251" s="654"/>
      <c r="C251" s="965"/>
      <c r="D251" s="654"/>
      <c r="E251" s="966"/>
      <c r="F251" s="966"/>
      <c r="G251" s="942"/>
      <c r="H251" s="905"/>
      <c r="I251" s="905"/>
      <c r="J251" s="942"/>
      <c r="K251" s="930"/>
      <c r="L251" s="949"/>
      <c r="M251" s="949"/>
      <c r="N251" s="950"/>
      <c r="O251" s="950"/>
      <c r="P251" s="655"/>
      <c r="Q251" s="655"/>
      <c r="R251" s="655"/>
      <c r="S251" s="671"/>
      <c r="T251" s="770" t="s">
        <v>50</v>
      </c>
      <c r="U251" s="770">
        <f>COUNTIF(D237:D256,"공")</f>
        <v>0</v>
      </c>
      <c r="V251" s="771">
        <f>COUNTIF(I237:I256,"공")</f>
        <v>0</v>
      </c>
      <c r="W251" s="770" t="s">
        <v>26</v>
      </c>
      <c r="X251" s="770">
        <f>SUMIF(D237:D256,"공",F237:F256)</f>
        <v>0</v>
      </c>
      <c r="Y251" s="771">
        <f>SUMIF(I237:I256,"공",K237:K256)</f>
        <v>0</v>
      </c>
      <c r="Z251" s="770">
        <f>COUNTIF(AJ237:AJ256,"공국")+COUNTIF(AJ237:AJ256,"공공")</f>
        <v>0</v>
      </c>
      <c r="AA251" s="771">
        <f>COUNTIF(AK237:AK256,"공국")+COUNTIF(AK237:AK256,"공공")</f>
        <v>0</v>
      </c>
      <c r="AB251" s="770" t="s">
        <v>26</v>
      </c>
      <c r="AC251" s="770">
        <f>SUMIF(AJ237:AJ256,"공국",F237:F256)+SUMIF(AJ237:AJ256,"공공",F237:F256)</f>
        <v>0</v>
      </c>
      <c r="AD251" s="771">
        <f>SUMIF(AK237:AK256,"공국",K237:K256)+SUMIF(AK237:AK256,"공공",K237:K256)</f>
        <v>0</v>
      </c>
      <c r="AE251" s="770">
        <f t="shared" si="71"/>
        <v>0</v>
      </c>
      <c r="AF251" s="771">
        <f t="shared" si="72"/>
        <v>0</v>
      </c>
      <c r="AG251" s="770" t="s">
        <v>26</v>
      </c>
      <c r="AH251" s="770">
        <f t="shared" si="73"/>
        <v>0</v>
      </c>
      <c r="AI251" s="771">
        <f t="shared" si="74"/>
        <v>0</v>
      </c>
      <c r="AJ251" s="770" t="str">
        <f t="shared" si="75"/>
        <v/>
      </c>
      <c r="AK251" s="770" t="str">
        <f t="shared" si="76"/>
        <v/>
      </c>
      <c r="AL251" s="772"/>
      <c r="AM251" s="772"/>
    </row>
    <row r="252" spans="1:39" s="773" customFormat="1" ht="24" hidden="1" customHeight="1" x14ac:dyDescent="0.15">
      <c r="A252" s="884">
        <v>236</v>
      </c>
      <c r="B252" s="654"/>
      <c r="C252" s="965"/>
      <c r="D252" s="654"/>
      <c r="E252" s="966"/>
      <c r="F252" s="966"/>
      <c r="G252" s="942"/>
      <c r="H252" s="905"/>
      <c r="I252" s="905"/>
      <c r="J252" s="942"/>
      <c r="K252" s="930"/>
      <c r="L252" s="949"/>
      <c r="M252" s="949"/>
      <c r="N252" s="950"/>
      <c r="O252" s="950"/>
      <c r="P252" s="655"/>
      <c r="Q252" s="655"/>
      <c r="R252" s="655"/>
      <c r="S252" s="671"/>
      <c r="T252" s="791" t="s">
        <v>40</v>
      </c>
      <c r="U252" s="770">
        <f>COUNTIF(D237:D256,"장")</f>
        <v>0</v>
      </c>
      <c r="V252" s="771">
        <f>COUNTIF(I237:I256,"장")</f>
        <v>0</v>
      </c>
      <c r="W252" s="770" t="s">
        <v>26</v>
      </c>
      <c r="X252" s="770">
        <f>SUMIF(D237:D256,"장",F237:F256)</f>
        <v>0</v>
      </c>
      <c r="Y252" s="771">
        <f>SUMIF(I237:I256,"장",K237:K256)</f>
        <v>0</v>
      </c>
      <c r="Z252" s="770">
        <f>COUNTIF(AJ237:AJ256,"장국")+COUNTIF(AJ237:AJ256,"장공")</f>
        <v>0</v>
      </c>
      <c r="AA252" s="771">
        <f>COUNTIF(AK237:AK256,"장국")+COUNTIF(AK237:AK256,"장공")</f>
        <v>0</v>
      </c>
      <c r="AB252" s="770" t="s">
        <v>26</v>
      </c>
      <c r="AC252" s="770">
        <f>SUMIF(AJ237:AJ256,"장국",F237:F256)+SUMIF(AJ237:AJ256,"장공",F237:F256)</f>
        <v>0</v>
      </c>
      <c r="AD252" s="771">
        <f>SUMIF(AK237:AK256,"장국",K237:K256)+SUMIF(AK237:AK256,"장공",K237:K256)</f>
        <v>0</v>
      </c>
      <c r="AE252" s="770">
        <f t="shared" si="71"/>
        <v>0</v>
      </c>
      <c r="AF252" s="771">
        <f t="shared" si="72"/>
        <v>0</v>
      </c>
      <c r="AG252" s="770" t="s">
        <v>26</v>
      </c>
      <c r="AH252" s="770">
        <f t="shared" si="73"/>
        <v>0</v>
      </c>
      <c r="AI252" s="771">
        <f t="shared" si="74"/>
        <v>0</v>
      </c>
      <c r="AJ252" s="770" t="str">
        <f t="shared" si="75"/>
        <v/>
      </c>
      <c r="AK252" s="770" t="str">
        <f t="shared" si="76"/>
        <v/>
      </c>
      <c r="AL252" s="772"/>
      <c r="AM252" s="772"/>
    </row>
    <row r="253" spans="1:39" s="773" customFormat="1" ht="24" hidden="1" customHeight="1" x14ac:dyDescent="0.15">
      <c r="A253" s="884">
        <v>237</v>
      </c>
      <c r="B253" s="654"/>
      <c r="C253" s="965"/>
      <c r="D253" s="654"/>
      <c r="E253" s="966"/>
      <c r="F253" s="966"/>
      <c r="G253" s="942"/>
      <c r="H253" s="905"/>
      <c r="I253" s="905"/>
      <c r="J253" s="942"/>
      <c r="K253" s="930"/>
      <c r="L253" s="949"/>
      <c r="M253" s="949"/>
      <c r="N253" s="960"/>
      <c r="O253" s="950"/>
      <c r="P253" s="655"/>
      <c r="Q253" s="655"/>
      <c r="R253" s="655"/>
      <c r="S253" s="671"/>
      <c r="T253" s="791" t="s">
        <v>79</v>
      </c>
      <c r="U253" s="770">
        <f>COUNTIF(D237:D256,"목")</f>
        <v>0</v>
      </c>
      <c r="V253" s="771">
        <f>COUNTIF(I237:I256,"목")</f>
        <v>0</v>
      </c>
      <c r="W253" s="770" t="s">
        <v>26</v>
      </c>
      <c r="X253" s="770">
        <f>SUMIF(D237:D256,"목",F237:F256)</f>
        <v>0</v>
      </c>
      <c r="Y253" s="771">
        <f>SUMIF(I237:I256,"목",K237:K256)</f>
        <v>0</v>
      </c>
      <c r="Z253" s="770">
        <f>COUNTIF(AJ237:AJ256,"목국")+COUNTIF(AJ237:AJ256,"목공")</f>
        <v>0</v>
      </c>
      <c r="AA253" s="771">
        <f>COUNTIF(AK237:AK256,"목국")+COUNTIF(AK237:AK256,"목공")</f>
        <v>0</v>
      </c>
      <c r="AB253" s="770" t="s">
        <v>26</v>
      </c>
      <c r="AC253" s="770">
        <f>SUMIF(AJ237:AJ256,"목국",F237:F256)+SUMIF(AJ237:AJ256,"목공",F237:F256)</f>
        <v>0</v>
      </c>
      <c r="AD253" s="771">
        <f>SUMIF(AK237:AK256,"목국",K237:K256)+SUMIF(AK237:AK256,"목공",K237:K256)</f>
        <v>0</v>
      </c>
      <c r="AE253" s="770">
        <f t="shared" si="71"/>
        <v>0</v>
      </c>
      <c r="AF253" s="771">
        <f t="shared" si="72"/>
        <v>0</v>
      </c>
      <c r="AG253" s="770" t="s">
        <v>26</v>
      </c>
      <c r="AH253" s="770">
        <f t="shared" si="73"/>
        <v>0</v>
      </c>
      <c r="AI253" s="771">
        <f t="shared" si="74"/>
        <v>0</v>
      </c>
      <c r="AJ253" s="770" t="str">
        <f t="shared" si="75"/>
        <v/>
      </c>
      <c r="AK253" s="770" t="str">
        <f t="shared" si="76"/>
        <v/>
      </c>
      <c r="AL253" s="772"/>
      <c r="AM253" s="772"/>
    </row>
    <row r="254" spans="1:39" s="773" customFormat="1" ht="24" hidden="1" customHeight="1" x14ac:dyDescent="0.15">
      <c r="A254" s="884">
        <v>238</v>
      </c>
      <c r="B254" s="654"/>
      <c r="C254" s="965"/>
      <c r="D254" s="654"/>
      <c r="E254" s="970"/>
      <c r="F254" s="970"/>
      <c r="G254" s="942"/>
      <c r="H254" s="905"/>
      <c r="I254" s="905"/>
      <c r="J254" s="942"/>
      <c r="K254" s="930"/>
      <c r="L254" s="949"/>
      <c r="M254" s="949"/>
      <c r="N254" s="950"/>
      <c r="O254" s="950"/>
      <c r="P254" s="655"/>
      <c r="Q254" s="655"/>
      <c r="R254" s="655"/>
      <c r="S254" s="671"/>
      <c r="T254" s="791"/>
      <c r="U254" s="791"/>
      <c r="V254" s="792"/>
      <c r="W254" s="791"/>
      <c r="X254" s="791"/>
      <c r="Y254" s="792"/>
      <c r="Z254" s="770"/>
      <c r="AA254" s="771"/>
      <c r="AB254" s="791"/>
      <c r="AC254" s="770"/>
      <c r="AD254" s="771"/>
      <c r="AE254" s="791"/>
      <c r="AF254" s="792"/>
      <c r="AG254" s="791"/>
      <c r="AH254" s="791"/>
      <c r="AI254" s="792"/>
      <c r="AJ254" s="770" t="str">
        <f t="shared" si="75"/>
        <v/>
      </c>
      <c r="AK254" s="770" t="str">
        <f t="shared" si="76"/>
        <v/>
      </c>
      <c r="AL254" s="772"/>
      <c r="AM254" s="772"/>
    </row>
    <row r="255" spans="1:39" s="773" customFormat="1" ht="24" hidden="1" customHeight="1" x14ac:dyDescent="0.15">
      <c r="A255" s="884">
        <v>239</v>
      </c>
      <c r="B255" s="654"/>
      <c r="C255" s="965"/>
      <c r="D255" s="654"/>
      <c r="E255" s="966"/>
      <c r="F255" s="966"/>
      <c r="G255" s="943"/>
      <c r="H255" s="905"/>
      <c r="I255" s="905"/>
      <c r="J255" s="943"/>
      <c r="K255" s="930"/>
      <c r="L255" s="949"/>
      <c r="M255" s="949"/>
      <c r="N255" s="950"/>
      <c r="O255" s="950"/>
      <c r="P255" s="655"/>
      <c r="Q255" s="655"/>
      <c r="R255" s="655"/>
      <c r="S255" s="671"/>
      <c r="T255" s="791"/>
      <c r="U255" s="791"/>
      <c r="V255" s="792"/>
      <c r="W255" s="791"/>
      <c r="X255" s="791"/>
      <c r="Y255" s="792"/>
      <c r="Z255" s="770"/>
      <c r="AA255" s="771"/>
      <c r="AB255" s="791"/>
      <c r="AC255" s="770"/>
      <c r="AD255" s="771"/>
      <c r="AE255" s="791"/>
      <c r="AF255" s="792"/>
      <c r="AG255" s="791"/>
      <c r="AH255" s="791"/>
      <c r="AI255" s="792"/>
      <c r="AJ255" s="770" t="str">
        <f t="shared" si="75"/>
        <v/>
      </c>
      <c r="AK255" s="770" t="str">
        <f t="shared" si="76"/>
        <v/>
      </c>
      <c r="AL255" s="772"/>
      <c r="AM255" s="772"/>
    </row>
    <row r="256" spans="1:39" s="773" customFormat="1" ht="24" hidden="1" customHeight="1" x14ac:dyDescent="0.15">
      <c r="A256" s="884">
        <v>240</v>
      </c>
      <c r="B256" s="654"/>
      <c r="C256" s="965"/>
      <c r="D256" s="654"/>
      <c r="E256" s="966"/>
      <c r="F256" s="966"/>
      <c r="G256" s="942"/>
      <c r="H256" s="905"/>
      <c r="I256" s="905"/>
      <c r="J256" s="942"/>
      <c r="K256" s="930"/>
      <c r="L256" s="949"/>
      <c r="M256" s="949"/>
      <c r="N256" s="950"/>
      <c r="O256" s="950"/>
      <c r="P256" s="655"/>
      <c r="Q256" s="655"/>
      <c r="R256" s="655"/>
      <c r="S256" s="671"/>
      <c r="T256" s="794" t="s">
        <v>37</v>
      </c>
      <c r="U256" s="794">
        <f>COUNTIF(D237:D256,"철")</f>
        <v>0</v>
      </c>
      <c r="V256" s="795">
        <f>COUNTIF(I237:I256,"철")</f>
        <v>0</v>
      </c>
      <c r="W256" s="794" t="s">
        <v>26</v>
      </c>
      <c r="X256" s="794">
        <f>SUMIF(D237:D256,"철",F237:F256)</f>
        <v>0</v>
      </c>
      <c r="Y256" s="795">
        <f>SUMIF(I237:I256,"철",K237:K256)</f>
        <v>0</v>
      </c>
      <c r="Z256" s="770">
        <f>COUNTIF(AJ237:AJ256,"철국")+COUNTIF(AJ237:AJ256,"철공")</f>
        <v>0</v>
      </c>
      <c r="AA256" s="771">
        <f>COUNTIF(AK237:AK256,"철국")+COUNTIF(AK237:AK256,"철공")</f>
        <v>0</v>
      </c>
      <c r="AB256" s="794" t="s">
        <v>26</v>
      </c>
      <c r="AC256" s="770">
        <f>SUMIF(AJ237:AJ256,"철국",F237:F256)+SUMIF(AJ237:AJ256,"철공",F237:F256)</f>
        <v>0</v>
      </c>
      <c r="AD256" s="771">
        <f>SUMIF(AK237:AK256,"철국",K237:K256)+SUMIF(AK237:AK256,"철공",K237:K256)</f>
        <v>0</v>
      </c>
      <c r="AE256" s="794"/>
      <c r="AF256" s="795"/>
      <c r="AG256" s="794"/>
      <c r="AH256" s="794"/>
      <c r="AI256" s="795"/>
      <c r="AJ256" s="770" t="str">
        <f t="shared" si="75"/>
        <v/>
      </c>
      <c r="AK256" s="770" t="str">
        <f t="shared" si="76"/>
        <v/>
      </c>
      <c r="AL256" s="772"/>
      <c r="AM256" s="772"/>
    </row>
    <row r="257" spans="1:38" s="755" customFormat="1" ht="24" hidden="1" customHeight="1" thickBot="1" x14ac:dyDescent="0.2">
      <c r="A257" s="796" t="s">
        <v>48</v>
      </c>
      <c r="B257" s="797"/>
      <c r="C257" s="797"/>
      <c r="D257" s="797"/>
      <c r="E257" s="797"/>
      <c r="F257" s="798">
        <f>SUM(F237:F256)</f>
        <v>0</v>
      </c>
      <c r="G257" s="799"/>
      <c r="H257" s="799"/>
      <c r="I257" s="827"/>
      <c r="J257" s="936"/>
      <c r="K257" s="971">
        <f>SUM(K237:K256)</f>
        <v>0</v>
      </c>
      <c r="L257" s="803"/>
      <c r="M257" s="803"/>
      <c r="N257" s="804"/>
      <c r="O257" s="804"/>
      <c r="P257" s="803"/>
      <c r="Q257" s="803"/>
      <c r="R257" s="803"/>
      <c r="S257" s="805"/>
      <c r="T257" s="806" t="s">
        <v>24</v>
      </c>
      <c r="U257" s="807">
        <f t="shared" ref="U257:AA257" si="77">SUM(U237:U256)</f>
        <v>0</v>
      </c>
      <c r="V257" s="807">
        <f t="shared" si="77"/>
        <v>0</v>
      </c>
      <c r="W257" s="807">
        <f t="shared" si="77"/>
        <v>0</v>
      </c>
      <c r="X257" s="807">
        <f t="shared" si="77"/>
        <v>0</v>
      </c>
      <c r="Y257" s="807">
        <f t="shared" si="77"/>
        <v>0</v>
      </c>
      <c r="Z257" s="822">
        <f t="shared" si="77"/>
        <v>0</v>
      </c>
      <c r="AA257" s="823">
        <f t="shared" si="77"/>
        <v>0</v>
      </c>
      <c r="AB257" s="822" t="s">
        <v>26</v>
      </c>
      <c r="AC257" s="822">
        <f>SUM(AC237:AC256)</f>
        <v>0</v>
      </c>
      <c r="AD257" s="823">
        <f>SUM(AD237:AD256)</f>
        <v>0</v>
      </c>
      <c r="AE257" s="807">
        <f>SUM(AE237:AE256)</f>
        <v>0</v>
      </c>
      <c r="AF257" s="807">
        <f>SUM(AF237:AF256)</f>
        <v>0</v>
      </c>
      <c r="AG257" s="807" t="s">
        <v>26</v>
      </c>
      <c r="AH257" s="807">
        <f>SUM(AH237:AH256)</f>
        <v>0</v>
      </c>
      <c r="AI257" s="807">
        <f>SUM(AI237:AI256)</f>
        <v>0</v>
      </c>
      <c r="AJ257" s="807"/>
    </row>
    <row r="258" spans="1:38" s="773" customFormat="1" ht="24.95" hidden="1" customHeight="1" x14ac:dyDescent="0.15">
      <c r="A258" s="877">
        <v>241</v>
      </c>
      <c r="B258" s="878"/>
      <c r="C258" s="965"/>
      <c r="D258" s="654"/>
      <c r="E258" s="966"/>
      <c r="F258" s="966"/>
      <c r="G258" s="942"/>
      <c r="H258" s="905"/>
      <c r="I258" s="905"/>
      <c r="J258" s="942"/>
      <c r="K258" s="930"/>
      <c r="L258" s="949"/>
      <c r="M258" s="949"/>
      <c r="N258" s="950"/>
      <c r="O258" s="950"/>
      <c r="P258" s="919"/>
      <c r="Q258" s="919"/>
      <c r="R258" s="919"/>
      <c r="S258" s="940"/>
      <c r="T258" s="770" t="s">
        <v>27</v>
      </c>
      <c r="U258" s="770">
        <f>COUNTIF(D258:D277,"전")</f>
        <v>0</v>
      </c>
      <c r="V258" s="771">
        <f>COUNTIF(I258:I277,"전")</f>
        <v>0</v>
      </c>
      <c r="W258" s="770" t="s">
        <v>26</v>
      </c>
      <c r="X258" s="770">
        <f>SUMIF(D258:D277,"전",F258:F277)</f>
        <v>0</v>
      </c>
      <c r="Y258" s="771">
        <f>SUMIF(I258:I277,"전",K258:K277)</f>
        <v>0</v>
      </c>
      <c r="Z258" s="770">
        <f>COUNTIF(AJ258:AJ277,"전국")+COUNTIF(AJ258:AJ277,"전공")</f>
        <v>0</v>
      </c>
      <c r="AA258" s="771">
        <f>COUNTIF(AK258:AK277,"전국")+COUNTIF(AK258:AK277,"전공")</f>
        <v>0</v>
      </c>
      <c r="AB258" s="770" t="s">
        <v>26</v>
      </c>
      <c r="AC258" s="770">
        <f>SUMIF(AJ258:AJ277,"전국",F258:F277)+SUMIF(AJ258:AJ277,"전공",F258:F277)</f>
        <v>0</v>
      </c>
      <c r="AD258" s="771">
        <f>SUMIF(AK258:AK277,"전국",K258:K277)+SUMIF(AK258:AK277,"전공",K258:K277)</f>
        <v>0</v>
      </c>
      <c r="AE258" s="770">
        <f t="shared" ref="AE258:AE274" si="78">U258-Z258</f>
        <v>0</v>
      </c>
      <c r="AF258" s="771">
        <f t="shared" ref="AF258:AF274" si="79">V258-AA258</f>
        <v>0</v>
      </c>
      <c r="AG258" s="770" t="s">
        <v>26</v>
      </c>
      <c r="AH258" s="770">
        <f t="shared" ref="AH258:AH274" si="80">X258-AC258</f>
        <v>0</v>
      </c>
      <c r="AI258" s="771">
        <f t="shared" ref="AI258:AI274" si="81">Y258-AD258</f>
        <v>0</v>
      </c>
      <c r="AJ258" s="770" t="str">
        <f t="shared" ref="AJ258:AJ277" si="82">CONCATENATE(D258,L258)</f>
        <v/>
      </c>
      <c r="AK258" s="770" t="str">
        <f t="shared" ref="AK258:AK277" si="83">CONCATENATE(I258,L258)</f>
        <v/>
      </c>
      <c r="AL258" s="772"/>
    </row>
    <row r="259" spans="1:38" s="773" customFormat="1" ht="24.95" hidden="1" customHeight="1" x14ac:dyDescent="0.15">
      <c r="A259" s="884">
        <v>242</v>
      </c>
      <c r="B259" s="654"/>
      <c r="C259" s="965"/>
      <c r="D259" s="654"/>
      <c r="E259" s="970"/>
      <c r="F259" s="970"/>
      <c r="G259" s="942"/>
      <c r="H259" s="905"/>
      <c r="I259" s="905"/>
      <c r="J259" s="942"/>
      <c r="K259" s="930"/>
      <c r="L259" s="949"/>
      <c r="M259" s="949"/>
      <c r="N259" s="950"/>
      <c r="O259" s="950"/>
      <c r="P259" s="655"/>
      <c r="Q259" s="655"/>
      <c r="R259" s="655"/>
      <c r="S259" s="671"/>
      <c r="T259" s="770" t="s">
        <v>28</v>
      </c>
      <c r="U259" s="770">
        <f>COUNTIF(D258:D277,"답")</f>
        <v>0</v>
      </c>
      <c r="V259" s="771">
        <f>COUNTIF(I258:I277,"답")</f>
        <v>0</v>
      </c>
      <c r="W259" s="770" t="s">
        <v>26</v>
      </c>
      <c r="X259" s="770">
        <f>SUMIF(D258:D277,"답",F258:F277)</f>
        <v>0</v>
      </c>
      <c r="Y259" s="771">
        <f>SUMIF(I258:I277,"답",K258:K277)</f>
        <v>0</v>
      </c>
      <c r="Z259" s="770">
        <f>COUNTIF(AJ258:AJ277,"답국")+COUNTIF(AJ258:AJ277,"답공")</f>
        <v>0</v>
      </c>
      <c r="AA259" s="771">
        <f>COUNTIF(AK258:AK277,"답국")+COUNTIF(AK258:AK277,"답공")</f>
        <v>0</v>
      </c>
      <c r="AB259" s="770" t="s">
        <v>26</v>
      </c>
      <c r="AC259" s="770">
        <f>SUMIF(AJ258:AJ277,"답국",F258:F277)+SUMIF(AJ258:AJ277,"답공",F258:F277)</f>
        <v>0</v>
      </c>
      <c r="AD259" s="771">
        <f>SUMIF(AK258:AK277,"답국",K258:K277)+SUMIF(AK258:AK277,"답공",K258:K277)</f>
        <v>0</v>
      </c>
      <c r="AE259" s="770">
        <f t="shared" si="78"/>
        <v>0</v>
      </c>
      <c r="AF259" s="771">
        <f t="shared" si="79"/>
        <v>0</v>
      </c>
      <c r="AG259" s="770" t="s">
        <v>26</v>
      </c>
      <c r="AH259" s="770">
        <f t="shared" si="80"/>
        <v>0</v>
      </c>
      <c r="AI259" s="771">
        <f t="shared" si="81"/>
        <v>0</v>
      </c>
      <c r="AJ259" s="770" t="str">
        <f t="shared" si="82"/>
        <v/>
      </c>
      <c r="AK259" s="770" t="str">
        <f t="shared" si="83"/>
        <v/>
      </c>
      <c r="AL259" s="772"/>
    </row>
    <row r="260" spans="1:38" s="773" customFormat="1" ht="24.95" hidden="1" customHeight="1" x14ac:dyDescent="0.15">
      <c r="A260" s="884">
        <v>243</v>
      </c>
      <c r="B260" s="654"/>
      <c r="C260" s="965"/>
      <c r="D260" s="654"/>
      <c r="E260" s="966"/>
      <c r="F260" s="966"/>
      <c r="G260" s="942"/>
      <c r="H260" s="905"/>
      <c r="I260" s="905"/>
      <c r="J260" s="942"/>
      <c r="K260" s="930"/>
      <c r="L260" s="949"/>
      <c r="M260" s="949"/>
      <c r="N260" s="950"/>
      <c r="O260" s="950"/>
      <c r="P260" s="655"/>
      <c r="Q260" s="655"/>
      <c r="R260" s="655"/>
      <c r="S260" s="671"/>
      <c r="T260" s="770" t="s">
        <v>44</v>
      </c>
      <c r="U260" s="770">
        <f>COUNTIF(D258:D277,"임")</f>
        <v>0</v>
      </c>
      <c r="V260" s="771">
        <f>COUNTIF(I258:I277,"임")</f>
        <v>0</v>
      </c>
      <c r="W260" s="770" t="s">
        <v>26</v>
      </c>
      <c r="X260" s="770">
        <f>SUMIF(D258:D277,"임",F258:F277)</f>
        <v>0</v>
      </c>
      <c r="Y260" s="771">
        <f>SUMIF(I258:I277,"임",K258:K277)</f>
        <v>0</v>
      </c>
      <c r="Z260" s="770">
        <f>COUNTIF(AJ258:AJ277,"임국")+COUNTIF(AJ258:AJ277,"임공")</f>
        <v>0</v>
      </c>
      <c r="AA260" s="771">
        <f>COUNTIF(AK258:AK277,"임국")+COUNTIF(AK258:AK277,"임공")</f>
        <v>0</v>
      </c>
      <c r="AB260" s="770" t="s">
        <v>26</v>
      </c>
      <c r="AC260" s="770">
        <f>SUMIF(AJ258:AJ277,"임국",F258:F277)+SUMIF(AJ258:AJ277,"임공",F258:F277)</f>
        <v>0</v>
      </c>
      <c r="AD260" s="771">
        <f>SUMIF(AK258:AK277,"임국",K258:K277)+SUMIF(AK258:AK277,"임공",K258:K277)</f>
        <v>0</v>
      </c>
      <c r="AE260" s="770">
        <f t="shared" si="78"/>
        <v>0</v>
      </c>
      <c r="AF260" s="771">
        <f t="shared" si="79"/>
        <v>0</v>
      </c>
      <c r="AG260" s="770" t="s">
        <v>26</v>
      </c>
      <c r="AH260" s="770">
        <f t="shared" si="80"/>
        <v>0</v>
      </c>
      <c r="AI260" s="771">
        <f t="shared" si="81"/>
        <v>0</v>
      </c>
      <c r="AJ260" s="770" t="str">
        <f t="shared" si="82"/>
        <v/>
      </c>
      <c r="AK260" s="770" t="str">
        <f t="shared" si="83"/>
        <v/>
      </c>
      <c r="AL260" s="772"/>
    </row>
    <row r="261" spans="1:38" s="773" customFormat="1" ht="24.95" hidden="1" customHeight="1" x14ac:dyDescent="0.15">
      <c r="A261" s="884">
        <v>244</v>
      </c>
      <c r="B261" s="654"/>
      <c r="C261" s="965"/>
      <c r="D261" s="654"/>
      <c r="E261" s="966"/>
      <c r="F261" s="966"/>
      <c r="G261" s="942"/>
      <c r="H261" s="905"/>
      <c r="I261" s="905"/>
      <c r="J261" s="942"/>
      <c r="K261" s="930"/>
      <c r="L261" s="949"/>
      <c r="M261" s="949"/>
      <c r="N261" s="950"/>
      <c r="O261" s="950"/>
      <c r="P261" s="655"/>
      <c r="Q261" s="655"/>
      <c r="R261" s="655"/>
      <c r="S261" s="671"/>
      <c r="T261" s="770" t="s">
        <v>45</v>
      </c>
      <c r="U261" s="770">
        <f>COUNTIF(D258:D277,"대")</f>
        <v>0</v>
      </c>
      <c r="V261" s="771">
        <f>COUNTIF(I258:I277,"대")</f>
        <v>0</v>
      </c>
      <c r="W261" s="770" t="s">
        <v>26</v>
      </c>
      <c r="X261" s="770">
        <f>SUMIF(D258:D277,"대",F258:F277)</f>
        <v>0</v>
      </c>
      <c r="Y261" s="771">
        <f>SUMIF(I258:I277,"대",K258:K277)</f>
        <v>0</v>
      </c>
      <c r="Z261" s="770">
        <f>COUNTIF(AJ258:AJ277,"대국")+COUNTIF(AJ258:AJ277,"대공")</f>
        <v>0</v>
      </c>
      <c r="AA261" s="771">
        <f>COUNTIF(AK258:AK277,"대국")+COUNTIF(AK258:AK277,"대공")</f>
        <v>0</v>
      </c>
      <c r="AB261" s="770" t="s">
        <v>26</v>
      </c>
      <c r="AC261" s="770">
        <f>SUMIF(AJ258:AJ277,"대국",F258:F277)+SUMIF(AJ258:AJ277,"대공",F258:F277)</f>
        <v>0</v>
      </c>
      <c r="AD261" s="771">
        <f>SUMIF(AK258:AK277,"대국",K258:K277)+SUMIF(AK258:AK277,"대공",K258:K277)</f>
        <v>0</v>
      </c>
      <c r="AE261" s="770">
        <f t="shared" si="78"/>
        <v>0</v>
      </c>
      <c r="AF261" s="771">
        <f t="shared" si="79"/>
        <v>0</v>
      </c>
      <c r="AG261" s="770" t="s">
        <v>26</v>
      </c>
      <c r="AH261" s="770">
        <f t="shared" si="80"/>
        <v>0</v>
      </c>
      <c r="AI261" s="771">
        <f t="shared" si="81"/>
        <v>0</v>
      </c>
      <c r="AJ261" s="770" t="str">
        <f t="shared" si="82"/>
        <v/>
      </c>
      <c r="AK261" s="770" t="str">
        <f t="shared" si="83"/>
        <v/>
      </c>
      <c r="AL261" s="772"/>
    </row>
    <row r="262" spans="1:38" s="773" customFormat="1" ht="24.95" hidden="1" customHeight="1" x14ac:dyDescent="0.15">
      <c r="A262" s="884">
        <v>245</v>
      </c>
      <c r="B262" s="654"/>
      <c r="C262" s="965"/>
      <c r="D262" s="654"/>
      <c r="E262" s="966"/>
      <c r="F262" s="966"/>
      <c r="G262" s="942"/>
      <c r="H262" s="905"/>
      <c r="I262" s="905"/>
      <c r="J262" s="942"/>
      <c r="K262" s="930"/>
      <c r="L262" s="949"/>
      <c r="M262" s="949"/>
      <c r="N262" s="950"/>
      <c r="O262" s="950"/>
      <c r="P262" s="655"/>
      <c r="Q262" s="655"/>
      <c r="R262" s="655"/>
      <c r="S262" s="671"/>
      <c r="T262" s="770" t="s">
        <v>31</v>
      </c>
      <c r="U262" s="770">
        <f>COUNTIF(D258:D277,"도")</f>
        <v>0</v>
      </c>
      <c r="V262" s="771">
        <f>COUNTIF(I258:I277,"도")</f>
        <v>0</v>
      </c>
      <c r="W262" s="770" t="s">
        <v>26</v>
      </c>
      <c r="X262" s="770">
        <f>SUMIF(D258:D277,"도",F258:F277)</f>
        <v>0</v>
      </c>
      <c r="Y262" s="771">
        <f>SUMIF(I258:I277,"도",K258:K277)</f>
        <v>0</v>
      </c>
      <c r="Z262" s="770">
        <f>COUNTIF(AJ258:AJ277,"도국")+COUNTIF(AJ258:AJ277,"도공")</f>
        <v>0</v>
      </c>
      <c r="AA262" s="771">
        <f>COUNTIF(AK258:AK277,"도국")+COUNTIF(AK258:AK277,"도공")</f>
        <v>0</v>
      </c>
      <c r="AB262" s="770" t="s">
        <v>26</v>
      </c>
      <c r="AC262" s="770">
        <f>SUMIF(AJ258:AJ277,"도국",F258:F277)+SUMIF(AJ258:AJ277,"도공",F258:F277)</f>
        <v>0</v>
      </c>
      <c r="AD262" s="771">
        <f>SUMIF(AK258:AK277,"도국",K258:K277)+SUMIF(AK258:AK277,"도공",K258:K277)</f>
        <v>0</v>
      </c>
      <c r="AE262" s="770">
        <f t="shared" si="78"/>
        <v>0</v>
      </c>
      <c r="AF262" s="771">
        <f t="shared" si="79"/>
        <v>0</v>
      </c>
      <c r="AG262" s="770" t="s">
        <v>26</v>
      </c>
      <c r="AH262" s="770">
        <f t="shared" si="80"/>
        <v>0</v>
      </c>
      <c r="AI262" s="771">
        <f t="shared" si="81"/>
        <v>0</v>
      </c>
      <c r="AJ262" s="770" t="str">
        <f t="shared" si="82"/>
        <v/>
      </c>
      <c r="AK262" s="770" t="str">
        <f t="shared" si="83"/>
        <v/>
      </c>
      <c r="AL262" s="772"/>
    </row>
    <row r="263" spans="1:38" s="773" customFormat="1" ht="24.95" hidden="1" customHeight="1" x14ac:dyDescent="0.15">
      <c r="A263" s="884">
        <v>246</v>
      </c>
      <c r="B263" s="654"/>
      <c r="C263" s="972"/>
      <c r="D263" s="972"/>
      <c r="E263" s="973"/>
      <c r="F263" s="973"/>
      <c r="G263" s="942"/>
      <c r="H263" s="905"/>
      <c r="I263" s="905"/>
      <c r="J263" s="942"/>
      <c r="K263" s="930"/>
      <c r="L263" s="949"/>
      <c r="M263" s="949"/>
      <c r="N263" s="950"/>
      <c r="O263" s="950"/>
      <c r="P263" s="655"/>
      <c r="Q263" s="655"/>
      <c r="R263" s="655"/>
      <c r="S263" s="671"/>
      <c r="T263" s="770" t="s">
        <v>32</v>
      </c>
      <c r="U263" s="786">
        <f>COUNTIF(D258:D277,"천")</f>
        <v>0</v>
      </c>
      <c r="V263" s="787">
        <f>COUNTIF(I258:I277,"천")</f>
        <v>0</v>
      </c>
      <c r="W263" s="770" t="s">
        <v>26</v>
      </c>
      <c r="X263" s="770">
        <f>SUMIF(D258:D277,"천",F258:F277)</f>
        <v>0</v>
      </c>
      <c r="Y263" s="771">
        <f>SUMIF(I258:I277,"천",K258:K277)</f>
        <v>0</v>
      </c>
      <c r="Z263" s="770">
        <f>COUNTIF(AJ258:AJ277,"천국")+COUNTIF(AJ258:AJ277,"천공")</f>
        <v>0</v>
      </c>
      <c r="AA263" s="771">
        <f>COUNTIF(AK258:AK277,"천국")+COUNTIF(AK258:AK277,"천공")</f>
        <v>0</v>
      </c>
      <c r="AB263" s="770" t="s">
        <v>26</v>
      </c>
      <c r="AC263" s="770">
        <f>SUMIF(AJ258:AJ277,"천국",F258:F277)+SUMIF(AJ258:AJ277,"천공",F258:F277)</f>
        <v>0</v>
      </c>
      <c r="AD263" s="771">
        <f>SUMIF(AK258:AK277,"천국",K258:K277)+SUMIF(AK258:AK277,"천공",K258:K277)</f>
        <v>0</v>
      </c>
      <c r="AE263" s="770">
        <f t="shared" si="78"/>
        <v>0</v>
      </c>
      <c r="AF263" s="771">
        <f t="shared" si="79"/>
        <v>0</v>
      </c>
      <c r="AG263" s="770" t="s">
        <v>26</v>
      </c>
      <c r="AH263" s="770">
        <f t="shared" si="80"/>
        <v>0</v>
      </c>
      <c r="AI263" s="771">
        <f t="shared" si="81"/>
        <v>0</v>
      </c>
      <c r="AJ263" s="770" t="str">
        <f t="shared" si="82"/>
        <v/>
      </c>
      <c r="AK263" s="770" t="str">
        <f t="shared" si="83"/>
        <v/>
      </c>
      <c r="AL263" s="772"/>
    </row>
    <row r="264" spans="1:38" s="773" customFormat="1" ht="24.95" hidden="1" customHeight="1" x14ac:dyDescent="0.15">
      <c r="A264" s="884">
        <v>247</v>
      </c>
      <c r="B264" s="654"/>
      <c r="C264" s="972"/>
      <c r="D264" s="972"/>
      <c r="E264" s="973"/>
      <c r="F264" s="973"/>
      <c r="G264" s="942"/>
      <c r="H264" s="905"/>
      <c r="I264" s="905"/>
      <c r="J264" s="942"/>
      <c r="K264" s="930"/>
      <c r="L264" s="959"/>
      <c r="M264" s="655"/>
      <c r="N264" s="974"/>
      <c r="O264" s="895"/>
      <c r="P264" s="655"/>
      <c r="Q264" s="655"/>
      <c r="R264" s="655"/>
      <c r="S264" s="671"/>
      <c r="T264" s="770" t="s">
        <v>33</v>
      </c>
      <c r="U264" s="770">
        <f>COUNTIF(D258:D277,"구")</f>
        <v>0</v>
      </c>
      <c r="V264" s="771">
        <f>COUNTIF(I258:I277,"구")</f>
        <v>0</v>
      </c>
      <c r="W264" s="770" t="s">
        <v>26</v>
      </c>
      <c r="X264" s="770">
        <f>SUMIF(D258:D277,"구",F258:F277)</f>
        <v>0</v>
      </c>
      <c r="Y264" s="771">
        <f>SUMIF(I258:I277,"구",K258:K277)</f>
        <v>0</v>
      </c>
      <c r="Z264" s="770">
        <f>COUNTIF(AJ258:AJ277,"구국")+COUNTIF(AJ258:AJ277,"구공")</f>
        <v>0</v>
      </c>
      <c r="AA264" s="771">
        <f>COUNTIF(AK258:AK277,"구국")+COUNTIF(AK258:AK277,"구공")</f>
        <v>0</v>
      </c>
      <c r="AB264" s="770" t="s">
        <v>26</v>
      </c>
      <c r="AC264" s="770">
        <f>SUMIF(AJ258:AJ277,"구국",F258:F277)+SUMIF(AJ258:AJ277,"구공",F258:F277)</f>
        <v>0</v>
      </c>
      <c r="AD264" s="771">
        <f>SUMIF(AK258:AK277,"구국",K258:K277)+SUMIF(AK258:AK277,"구공",K258:K277)</f>
        <v>0</v>
      </c>
      <c r="AE264" s="770">
        <f t="shared" si="78"/>
        <v>0</v>
      </c>
      <c r="AF264" s="771">
        <f t="shared" si="79"/>
        <v>0</v>
      </c>
      <c r="AG264" s="770" t="s">
        <v>26</v>
      </c>
      <c r="AH264" s="770">
        <f t="shared" si="80"/>
        <v>0</v>
      </c>
      <c r="AI264" s="771">
        <f t="shared" si="81"/>
        <v>0</v>
      </c>
      <c r="AJ264" s="770" t="str">
        <f t="shared" si="82"/>
        <v/>
      </c>
      <c r="AK264" s="770" t="str">
        <f t="shared" si="83"/>
        <v/>
      </c>
      <c r="AL264" s="772"/>
    </row>
    <row r="265" spans="1:38" s="773" customFormat="1" ht="24.95" hidden="1" customHeight="1" x14ac:dyDescent="0.15">
      <c r="A265" s="884">
        <v>248</v>
      </c>
      <c r="B265" s="654"/>
      <c r="C265" s="972"/>
      <c r="D265" s="972"/>
      <c r="E265" s="973"/>
      <c r="F265" s="973"/>
      <c r="G265" s="975"/>
      <c r="H265" s="976"/>
      <c r="I265" s="976"/>
      <c r="J265" s="975"/>
      <c r="K265" s="977"/>
      <c r="L265" s="978"/>
      <c r="M265" s="978"/>
      <c r="N265" s="979"/>
      <c r="O265" s="979"/>
      <c r="P265" s="655"/>
      <c r="Q265" s="655"/>
      <c r="R265" s="655"/>
      <c r="S265" s="671"/>
      <c r="T265" s="770" t="s">
        <v>34</v>
      </c>
      <c r="U265" s="770">
        <f>COUNTIF(D258:D277,"제")</f>
        <v>0</v>
      </c>
      <c r="V265" s="771">
        <f>COUNTIF(I258:I277,"제")</f>
        <v>0</v>
      </c>
      <c r="W265" s="770" t="s">
        <v>26</v>
      </c>
      <c r="X265" s="770">
        <f>SUMIF(D258:D277,"제",F258:F277)</f>
        <v>0</v>
      </c>
      <c r="Y265" s="771">
        <f>SUMIF(I258:I277,"제",K258:K277)</f>
        <v>0</v>
      </c>
      <c r="Z265" s="770">
        <f>COUNTIF(AJ258:AJ277,"제국")+COUNTIF(AJ258:AJ277,"제공")</f>
        <v>0</v>
      </c>
      <c r="AA265" s="771">
        <f>COUNTIF(AK258:AK277,"제국")+COUNTIF(AK258:AK277,"제공")</f>
        <v>0</v>
      </c>
      <c r="AB265" s="770" t="s">
        <v>26</v>
      </c>
      <c r="AC265" s="770">
        <f>SUMIF(AJ258:AJ277,"제국",F258:F277)+SUMIF(AJ258:AJ277,"제공",F258:F277)</f>
        <v>0</v>
      </c>
      <c r="AD265" s="771">
        <f>SUMIF(AK258:AK277,"제국",K258:K277)+SUMIF(AK258:AK277,"제공",K258:K277)</f>
        <v>0</v>
      </c>
      <c r="AE265" s="770">
        <f t="shared" si="78"/>
        <v>0</v>
      </c>
      <c r="AF265" s="771">
        <f t="shared" si="79"/>
        <v>0</v>
      </c>
      <c r="AG265" s="770" t="s">
        <v>26</v>
      </c>
      <c r="AH265" s="770">
        <f t="shared" si="80"/>
        <v>0</v>
      </c>
      <c r="AI265" s="771">
        <f t="shared" si="81"/>
        <v>0</v>
      </c>
      <c r="AJ265" s="770" t="str">
        <f t="shared" si="82"/>
        <v/>
      </c>
      <c r="AK265" s="770" t="str">
        <f t="shared" si="83"/>
        <v/>
      </c>
      <c r="AL265" s="772"/>
    </row>
    <row r="266" spans="1:38" s="773" customFormat="1" ht="24.95" hidden="1" customHeight="1" x14ac:dyDescent="0.15">
      <c r="A266" s="884">
        <v>249</v>
      </c>
      <c r="B266" s="654"/>
      <c r="C266" s="972"/>
      <c r="D266" s="972"/>
      <c r="E266" s="973"/>
      <c r="F266" s="973"/>
      <c r="G266" s="942"/>
      <c r="H266" s="905"/>
      <c r="I266" s="905"/>
      <c r="J266" s="942"/>
      <c r="K266" s="930"/>
      <c r="L266" s="949"/>
      <c r="M266" s="949"/>
      <c r="N266" s="950"/>
      <c r="O266" s="950"/>
      <c r="P266" s="655"/>
      <c r="Q266" s="655"/>
      <c r="R266" s="655"/>
      <c r="S266" s="671"/>
      <c r="T266" s="770" t="s">
        <v>46</v>
      </c>
      <c r="U266" s="770">
        <f>COUNTIF(D258:D277,"유")</f>
        <v>0</v>
      </c>
      <c r="V266" s="771">
        <f>COUNTIF(I258:I277,"유")</f>
        <v>0</v>
      </c>
      <c r="W266" s="770" t="s">
        <v>26</v>
      </c>
      <c r="X266" s="770">
        <f>SUMIF(D258:D277,"유",F258:F277)</f>
        <v>0</v>
      </c>
      <c r="Y266" s="771">
        <f>SUMIF(I258:I277,"유",K258:K277)</f>
        <v>0</v>
      </c>
      <c r="Z266" s="770">
        <f>COUNTIF(AJ258:AJ277,"유국")+COUNTIF(AJ258:AJ277,"유공")</f>
        <v>0</v>
      </c>
      <c r="AA266" s="771">
        <f>COUNTIF(AK258:AK277,"유국")+COUNTIF(AK258:AK277,"유공")</f>
        <v>0</v>
      </c>
      <c r="AB266" s="770" t="s">
        <v>26</v>
      </c>
      <c r="AC266" s="770">
        <f>SUMIF(AJ258:AJ277,"유국",F258:F277)+SUMIF(AJ258:AJ277,"유공",F258:F277)</f>
        <v>0</v>
      </c>
      <c r="AD266" s="771">
        <f>SUMIF(AK258:AK277,"유국",K258:K277)+SUMIF(AK258:AK277,"유공",K258:K277)</f>
        <v>0</v>
      </c>
      <c r="AE266" s="770">
        <f t="shared" si="78"/>
        <v>0</v>
      </c>
      <c r="AF266" s="771">
        <f t="shared" si="79"/>
        <v>0</v>
      </c>
      <c r="AG266" s="770" t="s">
        <v>26</v>
      </c>
      <c r="AH266" s="770">
        <f t="shared" si="80"/>
        <v>0</v>
      </c>
      <c r="AI266" s="771">
        <f t="shared" si="81"/>
        <v>0</v>
      </c>
      <c r="AJ266" s="770" t="str">
        <f t="shared" si="82"/>
        <v/>
      </c>
      <c r="AK266" s="770" t="str">
        <f t="shared" si="83"/>
        <v/>
      </c>
      <c r="AL266" s="772"/>
    </row>
    <row r="267" spans="1:38" s="773" customFormat="1" ht="24.95" hidden="1" customHeight="1" x14ac:dyDescent="0.15">
      <c r="A267" s="884">
        <v>250</v>
      </c>
      <c r="B267" s="654"/>
      <c r="C267" s="972"/>
      <c r="D267" s="972"/>
      <c r="E267" s="973"/>
      <c r="F267" s="973"/>
      <c r="G267" s="942"/>
      <c r="H267" s="905"/>
      <c r="I267" s="905"/>
      <c r="J267" s="942"/>
      <c r="K267" s="930"/>
      <c r="L267" s="949"/>
      <c r="M267" s="949"/>
      <c r="N267" s="950"/>
      <c r="O267" s="950"/>
      <c r="P267" s="655"/>
      <c r="Q267" s="655"/>
      <c r="R267" s="655"/>
      <c r="S267" s="671"/>
      <c r="T267" s="770" t="s">
        <v>47</v>
      </c>
      <c r="U267" s="770">
        <f>COUNTIF(D258:D277,"과")</f>
        <v>0</v>
      </c>
      <c r="V267" s="771">
        <f>COUNTIF(I258:I277,"과")</f>
        <v>0</v>
      </c>
      <c r="W267" s="770" t="s">
        <v>26</v>
      </c>
      <c r="X267" s="770">
        <f>SUMIF(D258:D277,"과",F258:F277)</f>
        <v>0</v>
      </c>
      <c r="Y267" s="771">
        <f>SUMIF(I258:I277,"과",K258:K277)</f>
        <v>0</v>
      </c>
      <c r="Z267" s="770">
        <f>COUNTIF(AJ258:AJ277,"과국")+COUNTIF(AJ258:AJ277,"과공")</f>
        <v>0</v>
      </c>
      <c r="AA267" s="771">
        <f>COUNTIF(AK258:AK277,"과국")+COUNTIF(AK258:AK277,"과공")</f>
        <v>0</v>
      </c>
      <c r="AB267" s="770" t="s">
        <v>26</v>
      </c>
      <c r="AC267" s="770">
        <f>SUMIF(AJ258:AJ277,"과국",F258:F277)+SUMIF(AJ258:AJ277,"과공",F258:F277)</f>
        <v>0</v>
      </c>
      <c r="AD267" s="771">
        <f>SUMIF(AK258:AK277,"과국",K258:K277)+SUMIF(AK258:AK277,"과공",K258:K277)</f>
        <v>0</v>
      </c>
      <c r="AE267" s="770">
        <f t="shared" si="78"/>
        <v>0</v>
      </c>
      <c r="AF267" s="771">
        <f t="shared" si="79"/>
        <v>0</v>
      </c>
      <c r="AG267" s="770" t="s">
        <v>26</v>
      </c>
      <c r="AH267" s="770">
        <f t="shared" si="80"/>
        <v>0</v>
      </c>
      <c r="AI267" s="771">
        <f t="shared" si="81"/>
        <v>0</v>
      </c>
      <c r="AJ267" s="770" t="str">
        <f t="shared" si="82"/>
        <v/>
      </c>
      <c r="AK267" s="770" t="str">
        <f t="shared" si="83"/>
        <v/>
      </c>
      <c r="AL267" s="772"/>
    </row>
    <row r="268" spans="1:38" s="773" customFormat="1" ht="24.95" hidden="1" customHeight="1" x14ac:dyDescent="0.15">
      <c r="A268" s="884">
        <v>251</v>
      </c>
      <c r="B268" s="654"/>
      <c r="C268" s="839"/>
      <c r="D268" s="839"/>
      <c r="E268" s="973"/>
      <c r="F268" s="973"/>
      <c r="G268" s="943"/>
      <c r="H268" s="905"/>
      <c r="I268" s="905"/>
      <c r="J268" s="943"/>
      <c r="K268" s="930"/>
      <c r="L268" s="959"/>
      <c r="M268" s="655"/>
      <c r="N268" s="960"/>
      <c r="O268" s="950"/>
      <c r="P268" s="655"/>
      <c r="Q268" s="655"/>
      <c r="R268" s="655"/>
      <c r="S268" s="671"/>
      <c r="T268" s="770" t="s">
        <v>36</v>
      </c>
      <c r="U268" s="770">
        <f>COUNTIF(D258:D277,"묘")</f>
        <v>0</v>
      </c>
      <c r="V268" s="771">
        <f>COUNTIF(I258:I277,"묘")</f>
        <v>0</v>
      </c>
      <c r="W268" s="770" t="s">
        <v>26</v>
      </c>
      <c r="X268" s="770">
        <f>SUMIF(D258:D277,"묘",F258:F277)</f>
        <v>0</v>
      </c>
      <c r="Y268" s="771">
        <f>SUMIF(I258:I277,"묘",K258:K277)</f>
        <v>0</v>
      </c>
      <c r="Z268" s="770">
        <f>COUNTIF(AJ258:AJ277,"묘국")+COUNTIF(AJ258:AJ277,"묘공")</f>
        <v>0</v>
      </c>
      <c r="AA268" s="771">
        <f>COUNTIF(AK258:AK277,"묘국")+COUNTIF(AK258:AK277,"묘공")</f>
        <v>0</v>
      </c>
      <c r="AB268" s="770" t="s">
        <v>26</v>
      </c>
      <c r="AC268" s="770">
        <f>SUMIF(AJ258:AJ277,"묘국",F258:F277)+SUMIF(AJ258:AJ277,"묘공",F258:F277)</f>
        <v>0</v>
      </c>
      <c r="AD268" s="771">
        <f>SUMIF(AK258:AK277,"묘국",K258:K277)+SUMIF(AK258:AK277,"묘공",K258:K277)</f>
        <v>0</v>
      </c>
      <c r="AE268" s="770">
        <f t="shared" si="78"/>
        <v>0</v>
      </c>
      <c r="AF268" s="771">
        <f t="shared" si="79"/>
        <v>0</v>
      </c>
      <c r="AG268" s="770" t="s">
        <v>26</v>
      </c>
      <c r="AH268" s="770">
        <f t="shared" si="80"/>
        <v>0</v>
      </c>
      <c r="AI268" s="771">
        <f t="shared" si="81"/>
        <v>0</v>
      </c>
      <c r="AJ268" s="770" t="str">
        <f t="shared" si="82"/>
        <v/>
      </c>
      <c r="AK268" s="770" t="str">
        <f t="shared" si="83"/>
        <v/>
      </c>
      <c r="AL268" s="772"/>
    </row>
    <row r="269" spans="1:38" s="773" customFormat="1" ht="24.95" hidden="1" customHeight="1" x14ac:dyDescent="0.15">
      <c r="A269" s="884">
        <v>252</v>
      </c>
      <c r="B269" s="654"/>
      <c r="C269" s="972"/>
      <c r="D269" s="972"/>
      <c r="E269" s="973"/>
      <c r="F269" s="973"/>
      <c r="G269" s="942"/>
      <c r="H269" s="905"/>
      <c r="I269" s="905"/>
      <c r="J269" s="942"/>
      <c r="K269" s="930"/>
      <c r="L269" s="959"/>
      <c r="M269" s="655"/>
      <c r="N269" s="960"/>
      <c r="O269" s="895"/>
      <c r="P269" s="655"/>
      <c r="Q269" s="655"/>
      <c r="R269" s="655"/>
      <c r="S269" s="671"/>
      <c r="T269" s="770" t="s">
        <v>39</v>
      </c>
      <c r="U269" s="770">
        <f>COUNTIF(D258:D277,"수")</f>
        <v>0</v>
      </c>
      <c r="V269" s="771">
        <f>COUNTIF(I258:I277,"수")</f>
        <v>0</v>
      </c>
      <c r="W269" s="770" t="s">
        <v>26</v>
      </c>
      <c r="X269" s="770">
        <f>SUMIF(D258:D277,"수",F258:F277)</f>
        <v>0</v>
      </c>
      <c r="Y269" s="771">
        <f>SUMIF(I258:I277,"수",K258:K277)</f>
        <v>0</v>
      </c>
      <c r="Z269" s="770">
        <f>COUNTIF(AJ258:AJ277,"수국")+COUNTIF(AJ258:AJ277,"수공")</f>
        <v>0</v>
      </c>
      <c r="AA269" s="771">
        <f>COUNTIF(AK258:AK277,"수국")+COUNTIF(AK258:AK277,"수공")</f>
        <v>0</v>
      </c>
      <c r="AB269" s="770" t="s">
        <v>26</v>
      </c>
      <c r="AC269" s="770">
        <f>SUMIF(AJ258:AJ277,"수국",F258:F277)+SUMIF(AJ258:AJ277,"수공",F258:F277)</f>
        <v>0</v>
      </c>
      <c r="AD269" s="771">
        <f>SUMIF(AK258:AK277,"수국",K258:K277)+SUMIF(AK258:AK277,"수공",K258:K277)</f>
        <v>0</v>
      </c>
      <c r="AE269" s="770">
        <f t="shared" si="78"/>
        <v>0</v>
      </c>
      <c r="AF269" s="771">
        <f t="shared" si="79"/>
        <v>0</v>
      </c>
      <c r="AG269" s="770" t="s">
        <v>26</v>
      </c>
      <c r="AH269" s="770">
        <f t="shared" si="80"/>
        <v>0</v>
      </c>
      <c r="AI269" s="771">
        <f t="shared" si="81"/>
        <v>0</v>
      </c>
      <c r="AJ269" s="770" t="str">
        <f t="shared" si="82"/>
        <v/>
      </c>
      <c r="AK269" s="770" t="str">
        <f t="shared" si="83"/>
        <v/>
      </c>
      <c r="AL269" s="772"/>
    </row>
    <row r="270" spans="1:38" s="773" customFormat="1" ht="24.95" hidden="1" customHeight="1" x14ac:dyDescent="0.15">
      <c r="A270" s="884">
        <v>253</v>
      </c>
      <c r="B270" s="654"/>
      <c r="C270" s="972"/>
      <c r="D270" s="972"/>
      <c r="E270" s="973"/>
      <c r="F270" s="973"/>
      <c r="G270" s="942"/>
      <c r="H270" s="905"/>
      <c r="I270" s="905"/>
      <c r="J270" s="942"/>
      <c r="K270" s="930"/>
      <c r="L270" s="959"/>
      <c r="M270" s="655"/>
      <c r="N270" s="974"/>
      <c r="O270" s="895"/>
      <c r="P270" s="655"/>
      <c r="Q270" s="655"/>
      <c r="R270" s="655"/>
      <c r="S270" s="671"/>
      <c r="T270" s="770" t="s">
        <v>35</v>
      </c>
      <c r="U270" s="770">
        <f>COUNTIF(D258:D277,"잡")</f>
        <v>0</v>
      </c>
      <c r="V270" s="771">
        <f>COUNTIF(I258:I277,"잡")</f>
        <v>0</v>
      </c>
      <c r="W270" s="770" t="s">
        <v>26</v>
      </c>
      <c r="X270" s="770">
        <f>SUMIF(D258:D277,"잡",F258:F277)</f>
        <v>0</v>
      </c>
      <c r="Y270" s="771">
        <f>SUMIF(I258:I277,"잡",K258:K277)</f>
        <v>0</v>
      </c>
      <c r="Z270" s="770">
        <f>COUNTIF(AJ258:AJ277,"잡국")+COUNTIF(AJ258:AJ277,"잡공")</f>
        <v>0</v>
      </c>
      <c r="AA270" s="771">
        <f>COUNTIF(AK258:AK277,"잡국")+COUNTIF(AK258:AK277,"잡공")</f>
        <v>0</v>
      </c>
      <c r="AB270" s="770" t="s">
        <v>26</v>
      </c>
      <c r="AC270" s="770">
        <f>SUMIF(AJ258:AJ277,"잡국",F258:F277)+SUMIF(AJ258:AJ277,"잡공",F258:F277)</f>
        <v>0</v>
      </c>
      <c r="AD270" s="771">
        <f>SUMIF(AK258:AK277,"잡국",K258:K277)+SUMIF(AK258:AK277,"잡공",K258:K277)</f>
        <v>0</v>
      </c>
      <c r="AE270" s="770">
        <f t="shared" si="78"/>
        <v>0</v>
      </c>
      <c r="AF270" s="771">
        <f t="shared" si="79"/>
        <v>0</v>
      </c>
      <c r="AG270" s="770" t="s">
        <v>26</v>
      </c>
      <c r="AH270" s="770">
        <f t="shared" si="80"/>
        <v>0</v>
      </c>
      <c r="AI270" s="771">
        <f t="shared" si="81"/>
        <v>0</v>
      </c>
      <c r="AJ270" s="770" t="str">
        <f t="shared" si="82"/>
        <v/>
      </c>
      <c r="AK270" s="770" t="str">
        <f t="shared" si="83"/>
        <v/>
      </c>
      <c r="AL270" s="772"/>
    </row>
    <row r="271" spans="1:38" s="773" customFormat="1" ht="24.95" hidden="1" customHeight="1" x14ac:dyDescent="0.15">
      <c r="A271" s="884">
        <v>254</v>
      </c>
      <c r="B271" s="654"/>
      <c r="C271" s="972"/>
      <c r="D271" s="972"/>
      <c r="E271" s="973"/>
      <c r="F271" s="973"/>
      <c r="G271" s="942"/>
      <c r="H271" s="905"/>
      <c r="I271" s="905"/>
      <c r="J271" s="942"/>
      <c r="K271" s="930"/>
      <c r="L271" s="959"/>
      <c r="M271" s="655"/>
      <c r="N271" s="960"/>
      <c r="O271" s="895"/>
      <c r="P271" s="655"/>
      <c r="Q271" s="655"/>
      <c r="R271" s="655"/>
      <c r="S271" s="671"/>
      <c r="T271" s="770" t="s">
        <v>51</v>
      </c>
      <c r="U271" s="770">
        <f>COUNTIF(D258:D277,"체")</f>
        <v>0</v>
      </c>
      <c r="V271" s="771">
        <f>COUNTIF(I258:I277,"체")</f>
        <v>0</v>
      </c>
      <c r="W271" s="770" t="s">
        <v>26</v>
      </c>
      <c r="X271" s="770">
        <f>SUMIF(D258:D277,"체",F258:F277)</f>
        <v>0</v>
      </c>
      <c r="Y271" s="771">
        <f>SUMIF(I258:I277,"체",K258:K277)</f>
        <v>0</v>
      </c>
      <c r="Z271" s="770">
        <f>COUNTIF(AJ258:AJ277,"체국")+COUNTIF(AJ258:AJ277,"체공")</f>
        <v>0</v>
      </c>
      <c r="AA271" s="771">
        <f>COUNTIF(AK258:AK277,"체국")+COUNTIF(AK258:AK277,"체공")</f>
        <v>0</v>
      </c>
      <c r="AB271" s="770" t="s">
        <v>26</v>
      </c>
      <c r="AC271" s="770">
        <f>SUMIF(AJ258:AJ277,"체국",F258:F277)+SUMIF(AJ258:AJ277,"체공",F258:F277)</f>
        <v>0</v>
      </c>
      <c r="AD271" s="771">
        <f>SUMIF(AK258:AK277,"체국",K258:K277)+SUMIF(AK258:AK277,"체공",K258:K277)</f>
        <v>0</v>
      </c>
      <c r="AE271" s="770">
        <f t="shared" si="78"/>
        <v>0</v>
      </c>
      <c r="AF271" s="771">
        <f t="shared" si="79"/>
        <v>0</v>
      </c>
      <c r="AG271" s="770" t="s">
        <v>26</v>
      </c>
      <c r="AH271" s="770">
        <f t="shared" si="80"/>
        <v>0</v>
      </c>
      <c r="AI271" s="771">
        <f t="shared" si="81"/>
        <v>0</v>
      </c>
      <c r="AJ271" s="770" t="str">
        <f t="shared" si="82"/>
        <v/>
      </c>
      <c r="AK271" s="770" t="str">
        <f t="shared" si="83"/>
        <v/>
      </c>
      <c r="AL271" s="772"/>
    </row>
    <row r="272" spans="1:38" s="773" customFormat="1" ht="24.95" hidden="1" customHeight="1" x14ac:dyDescent="0.15">
      <c r="A272" s="884">
        <v>255</v>
      </c>
      <c r="B272" s="654"/>
      <c r="C272" s="972"/>
      <c r="D272" s="972"/>
      <c r="E272" s="973"/>
      <c r="F272" s="973"/>
      <c r="G272" s="942"/>
      <c r="H272" s="905"/>
      <c r="I272" s="905"/>
      <c r="J272" s="942"/>
      <c r="K272" s="930"/>
      <c r="L272" s="959"/>
      <c r="M272" s="655"/>
      <c r="N272" s="960"/>
      <c r="O272" s="895"/>
      <c r="P272" s="655"/>
      <c r="Q272" s="655"/>
      <c r="R272" s="655"/>
      <c r="S272" s="671"/>
      <c r="T272" s="770" t="s">
        <v>50</v>
      </c>
      <c r="U272" s="770">
        <f>COUNTIF(D258:D277,"공")</f>
        <v>0</v>
      </c>
      <c r="V272" s="771">
        <f>COUNTIF(I258:I277,"공")</f>
        <v>0</v>
      </c>
      <c r="W272" s="770" t="s">
        <v>26</v>
      </c>
      <c r="X272" s="770">
        <f>SUMIF(D258:D277,"공",F258:F277)</f>
        <v>0</v>
      </c>
      <c r="Y272" s="771">
        <f>SUMIF(I258:I277,"공",K258:K277)</f>
        <v>0</v>
      </c>
      <c r="Z272" s="770">
        <f>COUNTIF(AJ258:AJ277,"공국")+COUNTIF(AJ258:AJ277,"공공")</f>
        <v>0</v>
      </c>
      <c r="AA272" s="771">
        <f>COUNTIF(AK258:AK277,"공국")+COUNTIF(AK258:AK277,"공공")</f>
        <v>0</v>
      </c>
      <c r="AB272" s="770" t="s">
        <v>26</v>
      </c>
      <c r="AC272" s="770">
        <f>SUMIF(AJ258:AJ277,"공국",F258:F277)+SUMIF(AJ258:AJ277,"공공",F258:F277)</f>
        <v>0</v>
      </c>
      <c r="AD272" s="771">
        <f>SUMIF(AK258:AK277,"공국",K258:K277)+SUMIF(AK258:AK277,"공공",K258:K277)</f>
        <v>0</v>
      </c>
      <c r="AE272" s="770">
        <f t="shared" si="78"/>
        <v>0</v>
      </c>
      <c r="AF272" s="771">
        <f t="shared" si="79"/>
        <v>0</v>
      </c>
      <c r="AG272" s="770" t="s">
        <v>26</v>
      </c>
      <c r="AH272" s="770">
        <f t="shared" si="80"/>
        <v>0</v>
      </c>
      <c r="AI272" s="771">
        <f t="shared" si="81"/>
        <v>0</v>
      </c>
      <c r="AJ272" s="770" t="str">
        <f t="shared" si="82"/>
        <v/>
      </c>
      <c r="AK272" s="770" t="str">
        <f t="shared" si="83"/>
        <v/>
      </c>
      <c r="AL272" s="772"/>
    </row>
    <row r="273" spans="1:38" s="773" customFormat="1" ht="24.95" hidden="1" customHeight="1" x14ac:dyDescent="0.15">
      <c r="A273" s="884">
        <v>256</v>
      </c>
      <c r="B273" s="654"/>
      <c r="C273" s="972"/>
      <c r="D273" s="972"/>
      <c r="E273" s="973"/>
      <c r="F273" s="973"/>
      <c r="G273" s="943"/>
      <c r="H273" s="905"/>
      <c r="I273" s="905"/>
      <c r="J273" s="943"/>
      <c r="K273" s="930"/>
      <c r="L273" s="959"/>
      <c r="M273" s="655"/>
      <c r="N273" s="960"/>
      <c r="O273" s="895"/>
      <c r="P273" s="980"/>
      <c r="Q273" s="980"/>
      <c r="R273" s="980"/>
      <c r="S273" s="671"/>
      <c r="T273" s="791" t="s">
        <v>40</v>
      </c>
      <c r="U273" s="770">
        <f>COUNTIF(D258:D277,"장")</f>
        <v>0</v>
      </c>
      <c r="V273" s="771">
        <f>COUNTIF(I258:I277,"장")</f>
        <v>0</v>
      </c>
      <c r="W273" s="770" t="s">
        <v>26</v>
      </c>
      <c r="X273" s="770">
        <f>SUMIF(D258:D277,"장",F258:F277)</f>
        <v>0</v>
      </c>
      <c r="Y273" s="771">
        <f>SUMIF(I258:I277,"장",K258:K277)</f>
        <v>0</v>
      </c>
      <c r="Z273" s="770">
        <f>COUNTIF(AJ258:AJ277,"장국")+COUNTIF(AJ258:AJ277,"장공")</f>
        <v>0</v>
      </c>
      <c r="AA273" s="771">
        <f>COUNTIF(AK258:AK277,"장국")+COUNTIF(AK258:AK277,"장공")</f>
        <v>0</v>
      </c>
      <c r="AB273" s="770" t="s">
        <v>26</v>
      </c>
      <c r="AC273" s="770">
        <f>SUMIF(AJ258:AJ277,"장국",F258:F277)+SUMIF(AJ258:AJ277,"장공",F258:F277)</f>
        <v>0</v>
      </c>
      <c r="AD273" s="771">
        <f>SUMIF(AK258:AK277,"장국",K258:K277)+SUMIF(AK258:AK277,"장공",K258:K277)</f>
        <v>0</v>
      </c>
      <c r="AE273" s="770">
        <f t="shared" si="78"/>
        <v>0</v>
      </c>
      <c r="AF273" s="771">
        <f t="shared" si="79"/>
        <v>0</v>
      </c>
      <c r="AG273" s="770" t="s">
        <v>26</v>
      </c>
      <c r="AH273" s="770">
        <f t="shared" si="80"/>
        <v>0</v>
      </c>
      <c r="AI273" s="771">
        <f t="shared" si="81"/>
        <v>0</v>
      </c>
      <c r="AJ273" s="770" t="str">
        <f t="shared" si="82"/>
        <v/>
      </c>
      <c r="AK273" s="770" t="str">
        <f t="shared" si="83"/>
        <v/>
      </c>
      <c r="AL273" s="772"/>
    </row>
    <row r="274" spans="1:38" s="773" customFormat="1" ht="24.95" hidden="1" customHeight="1" x14ac:dyDescent="0.15">
      <c r="A274" s="884">
        <v>257</v>
      </c>
      <c r="B274" s="654"/>
      <c r="C274" s="972"/>
      <c r="D274" s="972"/>
      <c r="E274" s="973"/>
      <c r="F274" s="973"/>
      <c r="G274" s="942"/>
      <c r="H274" s="905"/>
      <c r="I274" s="905"/>
      <c r="J274" s="942"/>
      <c r="K274" s="930"/>
      <c r="L274" s="959"/>
      <c r="M274" s="655"/>
      <c r="N274" s="960"/>
      <c r="O274" s="895"/>
      <c r="P274" s="980"/>
      <c r="Q274" s="980"/>
      <c r="R274" s="980"/>
      <c r="S274" s="671"/>
      <c r="T274" s="791" t="s">
        <v>79</v>
      </c>
      <c r="U274" s="770">
        <f>COUNTIF(D258:D277,"목")</f>
        <v>0</v>
      </c>
      <c r="V274" s="771">
        <f>COUNTIF(I258:I277,"목")</f>
        <v>0</v>
      </c>
      <c r="W274" s="770" t="s">
        <v>26</v>
      </c>
      <c r="X274" s="770">
        <f>SUMIF(D258:D277,"목",F258:F277)</f>
        <v>0</v>
      </c>
      <c r="Y274" s="771">
        <f>SUMIF(I258:I277,"목",K258:K277)</f>
        <v>0</v>
      </c>
      <c r="Z274" s="770">
        <f>COUNTIF(AJ258:AJ277,"목국")+COUNTIF(AJ258:AJ277,"목공")</f>
        <v>0</v>
      </c>
      <c r="AA274" s="771">
        <f>COUNTIF(AK258:AK277,"목국")+COUNTIF(AK258:AK277,"목공")</f>
        <v>0</v>
      </c>
      <c r="AB274" s="770" t="s">
        <v>26</v>
      </c>
      <c r="AC274" s="770">
        <f>SUMIF(AJ258:AJ277,"목국",F258:F277)+SUMIF(AJ258:AJ277,"목공",F258:F277)</f>
        <v>0</v>
      </c>
      <c r="AD274" s="771">
        <f>SUMIF(AK258:AK277,"목국",K258:K277)+SUMIF(AK258:AK277,"목공",K258:K277)</f>
        <v>0</v>
      </c>
      <c r="AE274" s="770">
        <f t="shared" si="78"/>
        <v>0</v>
      </c>
      <c r="AF274" s="771">
        <f t="shared" si="79"/>
        <v>0</v>
      </c>
      <c r="AG274" s="770" t="s">
        <v>26</v>
      </c>
      <c r="AH274" s="770">
        <f t="shared" si="80"/>
        <v>0</v>
      </c>
      <c r="AI274" s="771">
        <f t="shared" si="81"/>
        <v>0</v>
      </c>
      <c r="AJ274" s="770" t="str">
        <f t="shared" si="82"/>
        <v/>
      </c>
      <c r="AK274" s="770" t="str">
        <f t="shared" si="83"/>
        <v/>
      </c>
      <c r="AL274" s="772"/>
    </row>
    <row r="275" spans="1:38" s="773" customFormat="1" ht="24.95" hidden="1" customHeight="1" x14ac:dyDescent="0.15">
      <c r="A275" s="884">
        <v>258</v>
      </c>
      <c r="B275" s="654"/>
      <c r="C275" s="972"/>
      <c r="D275" s="972"/>
      <c r="E275" s="973"/>
      <c r="F275" s="973"/>
      <c r="G275" s="942"/>
      <c r="H275" s="905"/>
      <c r="I275" s="905"/>
      <c r="J275" s="942"/>
      <c r="K275" s="930"/>
      <c r="L275" s="959"/>
      <c r="M275" s="655"/>
      <c r="N275" s="960"/>
      <c r="O275" s="895"/>
      <c r="P275" s="980"/>
      <c r="Q275" s="980"/>
      <c r="R275" s="980"/>
      <c r="S275" s="671"/>
      <c r="T275" s="791"/>
      <c r="U275" s="791"/>
      <c r="V275" s="792"/>
      <c r="W275" s="791"/>
      <c r="X275" s="791"/>
      <c r="Y275" s="792"/>
      <c r="Z275" s="770"/>
      <c r="AA275" s="771"/>
      <c r="AB275" s="791"/>
      <c r="AC275" s="770"/>
      <c r="AD275" s="771"/>
      <c r="AE275" s="791"/>
      <c r="AF275" s="792"/>
      <c r="AG275" s="791"/>
      <c r="AH275" s="791"/>
      <c r="AI275" s="792"/>
      <c r="AJ275" s="770" t="str">
        <f t="shared" si="82"/>
        <v/>
      </c>
      <c r="AK275" s="770" t="str">
        <f t="shared" si="83"/>
        <v/>
      </c>
      <c r="AL275" s="772"/>
    </row>
    <row r="276" spans="1:38" s="773" customFormat="1" ht="24.95" hidden="1" customHeight="1" x14ac:dyDescent="0.15">
      <c r="A276" s="884">
        <v>259</v>
      </c>
      <c r="B276" s="654"/>
      <c r="C276" s="972"/>
      <c r="D276" s="972"/>
      <c r="E276" s="973"/>
      <c r="F276" s="973"/>
      <c r="G276" s="942"/>
      <c r="H276" s="905"/>
      <c r="I276" s="905"/>
      <c r="J276" s="942"/>
      <c r="K276" s="930"/>
      <c r="L276" s="959"/>
      <c r="M276" s="655"/>
      <c r="N276" s="960"/>
      <c r="O276" s="895"/>
      <c r="P276" s="980"/>
      <c r="Q276" s="980"/>
      <c r="R276" s="980"/>
      <c r="S276" s="671"/>
      <c r="T276" s="791"/>
      <c r="U276" s="791"/>
      <c r="V276" s="792"/>
      <c r="W276" s="791"/>
      <c r="X276" s="791"/>
      <c r="Y276" s="792"/>
      <c r="Z276" s="770"/>
      <c r="AA276" s="771"/>
      <c r="AB276" s="791"/>
      <c r="AC276" s="770"/>
      <c r="AD276" s="771"/>
      <c r="AE276" s="791"/>
      <c r="AF276" s="792"/>
      <c r="AG276" s="791"/>
      <c r="AH276" s="791"/>
      <c r="AI276" s="792"/>
      <c r="AJ276" s="770" t="str">
        <f t="shared" si="82"/>
        <v/>
      </c>
      <c r="AK276" s="770" t="str">
        <f t="shared" si="83"/>
        <v/>
      </c>
      <c r="AL276" s="772"/>
    </row>
    <row r="277" spans="1:38" s="773" customFormat="1" ht="24.95" hidden="1" customHeight="1" x14ac:dyDescent="0.15">
      <c r="A277" s="884">
        <v>260</v>
      </c>
      <c r="B277" s="654"/>
      <c r="C277" s="972"/>
      <c r="D277" s="972"/>
      <c r="E277" s="973"/>
      <c r="F277" s="973"/>
      <c r="G277" s="943"/>
      <c r="H277" s="905"/>
      <c r="I277" s="905"/>
      <c r="J277" s="943"/>
      <c r="K277" s="930"/>
      <c r="L277" s="981"/>
      <c r="M277" s="655"/>
      <c r="N277" s="974"/>
      <c r="O277" s="895"/>
      <c r="P277" s="980"/>
      <c r="Q277" s="980"/>
      <c r="R277" s="980"/>
      <c r="S277" s="982"/>
      <c r="T277" s="794" t="s">
        <v>37</v>
      </c>
      <c r="U277" s="794">
        <f>COUNTIF(D258:D277,"철")</f>
        <v>0</v>
      </c>
      <c r="V277" s="795">
        <f>COUNTIF(I258:I277,"철")</f>
        <v>0</v>
      </c>
      <c r="W277" s="794" t="s">
        <v>26</v>
      </c>
      <c r="X277" s="794">
        <f>SUMIF(D258:D277,"철",F258:F277)</f>
        <v>0</v>
      </c>
      <c r="Y277" s="795">
        <f>SUMIF(I258:I277,"철",K258:K277)</f>
        <v>0</v>
      </c>
      <c r="Z277" s="770">
        <f>COUNTIF(AJ258:AJ277,"철국")+COUNTIF(AJ258:AJ277,"철공")</f>
        <v>0</v>
      </c>
      <c r="AA277" s="771">
        <f>COUNTIF(AK258:AK277,"철국")+COUNTIF(AK258:AK277,"철공")</f>
        <v>0</v>
      </c>
      <c r="AB277" s="794" t="s">
        <v>26</v>
      </c>
      <c r="AC277" s="770">
        <f>SUMIF(AJ258:AJ277,"철국",F258:F277)+SUMIF(AJ258:AJ277,"철공",F258:F277)</f>
        <v>0</v>
      </c>
      <c r="AD277" s="771">
        <f>SUMIF(AK258:AK277,"철국",K258:K277)+SUMIF(AK258:AK277,"철공",K258:K277)</f>
        <v>0</v>
      </c>
      <c r="AE277" s="794"/>
      <c r="AF277" s="795"/>
      <c r="AG277" s="794"/>
      <c r="AH277" s="794"/>
      <c r="AI277" s="795"/>
      <c r="AJ277" s="770" t="str">
        <f t="shared" si="82"/>
        <v/>
      </c>
      <c r="AK277" s="770" t="str">
        <f t="shared" si="83"/>
        <v/>
      </c>
      <c r="AL277" s="772"/>
    </row>
    <row r="278" spans="1:38" s="755" customFormat="1" ht="24.95" hidden="1" customHeight="1" thickBot="1" x14ac:dyDescent="0.2">
      <c r="A278" s="796" t="s">
        <v>48</v>
      </c>
      <c r="B278" s="797"/>
      <c r="C278" s="797"/>
      <c r="D278" s="797"/>
      <c r="E278" s="797"/>
      <c r="F278" s="798">
        <f>SUM(F258:F277)</f>
        <v>0</v>
      </c>
      <c r="G278" s="799"/>
      <c r="H278" s="799"/>
      <c r="I278" s="827"/>
      <c r="J278" s="936"/>
      <c r="K278" s="971">
        <f>SUM(K258:K277)</f>
        <v>0</v>
      </c>
      <c r="L278" s="803"/>
      <c r="M278" s="803"/>
      <c r="N278" s="804"/>
      <c r="O278" s="804"/>
      <c r="P278" s="803"/>
      <c r="Q278" s="803"/>
      <c r="R278" s="803"/>
      <c r="S278" s="805"/>
      <c r="T278" s="806" t="s">
        <v>24</v>
      </c>
      <c r="U278" s="807">
        <f t="shared" ref="U278:AA278" si="84">SUM(U258:U277)</f>
        <v>0</v>
      </c>
      <c r="V278" s="807">
        <f t="shared" si="84"/>
        <v>0</v>
      </c>
      <c r="W278" s="807">
        <f t="shared" si="84"/>
        <v>0</v>
      </c>
      <c r="X278" s="807">
        <f t="shared" si="84"/>
        <v>0</v>
      </c>
      <c r="Y278" s="807">
        <f t="shared" si="84"/>
        <v>0</v>
      </c>
      <c r="Z278" s="822">
        <f t="shared" si="84"/>
        <v>0</v>
      </c>
      <c r="AA278" s="823">
        <f t="shared" si="84"/>
        <v>0</v>
      </c>
      <c r="AB278" s="822" t="s">
        <v>26</v>
      </c>
      <c r="AC278" s="822">
        <f>SUM(AC258:AC277)</f>
        <v>0</v>
      </c>
      <c r="AD278" s="823">
        <f>SUM(AD258:AD277)</f>
        <v>0</v>
      </c>
      <c r="AE278" s="807">
        <f>SUM(AE258:AE277)</f>
        <v>0</v>
      </c>
      <c r="AF278" s="807">
        <f>SUM(AF258:AF277)</f>
        <v>0</v>
      </c>
      <c r="AG278" s="807" t="s">
        <v>26</v>
      </c>
      <c r="AH278" s="807">
        <f>SUM(AH258:AH277)</f>
        <v>0</v>
      </c>
      <c r="AI278" s="807">
        <f>SUM(AI258:AI277)</f>
        <v>0</v>
      </c>
      <c r="AJ278" s="807"/>
    </row>
    <row r="279" spans="1:38" s="773" customFormat="1" ht="24" hidden="1" customHeight="1" x14ac:dyDescent="0.15">
      <c r="A279" s="877">
        <v>261</v>
      </c>
      <c r="B279" s="983"/>
      <c r="C279" s="983"/>
      <c r="D279" s="983"/>
      <c r="E279" s="984"/>
      <c r="F279" s="984"/>
      <c r="G279" s="942"/>
      <c r="H279" s="905"/>
      <c r="I279" s="905"/>
      <c r="J279" s="942"/>
      <c r="K279" s="930"/>
      <c r="L279" s="959"/>
      <c r="M279" s="655"/>
      <c r="N279" s="960"/>
      <c r="O279" s="895"/>
      <c r="P279" s="985"/>
      <c r="Q279" s="985"/>
      <c r="R279" s="985"/>
      <c r="S279" s="986"/>
      <c r="T279" s="770" t="s">
        <v>27</v>
      </c>
      <c r="U279" s="770">
        <f>COUNTIF(D279:D298,"전")</f>
        <v>0</v>
      </c>
      <c r="V279" s="771">
        <f>COUNTIF(I279:I298,"전")</f>
        <v>0</v>
      </c>
      <c r="W279" s="770" t="s">
        <v>26</v>
      </c>
      <c r="X279" s="770">
        <f>SUMIF(D279:D298,"전",F279:F298)</f>
        <v>0</v>
      </c>
      <c r="Y279" s="771">
        <f>SUMIF(I279:I298,"전",K279:K298)</f>
        <v>0</v>
      </c>
      <c r="Z279" s="770">
        <f>COUNTIF(AJ279:AJ298,"전국")+COUNTIF(AJ279:AJ298,"전공")</f>
        <v>0</v>
      </c>
      <c r="AA279" s="771">
        <f>COUNTIF(AK279:AK298,"전국")+COUNTIF(AK279:AK298,"전공")</f>
        <v>0</v>
      </c>
      <c r="AB279" s="770" t="s">
        <v>26</v>
      </c>
      <c r="AC279" s="770">
        <f>SUMIF(AJ279:AJ298,"전국",F279:F298)+SUMIF(AJ279:AJ298,"전공",F279:F298)</f>
        <v>0</v>
      </c>
      <c r="AD279" s="771">
        <f>SUMIF(AK279:AK298,"전국",K279:K298)+SUMIF(AK279:AK298,"전공",K279:K298)</f>
        <v>0</v>
      </c>
      <c r="AE279" s="770">
        <f t="shared" ref="AE279:AE295" si="85">U279-Z279</f>
        <v>0</v>
      </c>
      <c r="AF279" s="771">
        <f t="shared" ref="AF279:AF295" si="86">V279-AA279</f>
        <v>0</v>
      </c>
      <c r="AG279" s="770" t="s">
        <v>26</v>
      </c>
      <c r="AH279" s="770">
        <f t="shared" ref="AH279:AH295" si="87">X279-AC279</f>
        <v>0</v>
      </c>
      <c r="AI279" s="771">
        <f t="shared" ref="AI279:AI295" si="88">Y279-AD279</f>
        <v>0</v>
      </c>
      <c r="AJ279" s="770" t="str">
        <f t="shared" ref="AJ279:AJ298" si="89">CONCATENATE(D279,L279)</f>
        <v/>
      </c>
      <c r="AK279" s="770" t="str">
        <f t="shared" ref="AK279:AK298" si="90">CONCATENATE(I279,L279)</f>
        <v/>
      </c>
      <c r="AL279" s="772"/>
    </row>
    <row r="280" spans="1:38" s="773" customFormat="1" ht="24" hidden="1" customHeight="1" x14ac:dyDescent="0.15">
      <c r="A280" s="884">
        <v>262</v>
      </c>
      <c r="B280" s="972"/>
      <c r="C280" s="972"/>
      <c r="D280" s="972"/>
      <c r="E280" s="973"/>
      <c r="F280" s="973"/>
      <c r="G280" s="942"/>
      <c r="H280" s="905"/>
      <c r="I280" s="905"/>
      <c r="J280" s="942"/>
      <c r="K280" s="930"/>
      <c r="L280" s="959"/>
      <c r="M280" s="655"/>
      <c r="N280" s="960"/>
      <c r="O280" s="895"/>
      <c r="P280" s="980"/>
      <c r="Q280" s="980"/>
      <c r="R280" s="980"/>
      <c r="S280" s="982"/>
      <c r="T280" s="770" t="s">
        <v>28</v>
      </c>
      <c r="U280" s="770">
        <f>COUNTIF(D279:D298,"답")</f>
        <v>0</v>
      </c>
      <c r="V280" s="771">
        <f>COUNTIF(I279:I298,"답")</f>
        <v>0</v>
      </c>
      <c r="W280" s="770" t="s">
        <v>26</v>
      </c>
      <c r="X280" s="770">
        <f>SUMIF(D279:D298,"답",F279:F298)</f>
        <v>0</v>
      </c>
      <c r="Y280" s="771">
        <f>SUMIF(I279:I298,"답",K279:K298)</f>
        <v>0</v>
      </c>
      <c r="Z280" s="770">
        <f>COUNTIF(AJ279:AJ298,"답국")+COUNTIF(AJ279:AJ298,"답공")</f>
        <v>0</v>
      </c>
      <c r="AA280" s="771">
        <f>COUNTIF(AK279:AK298,"답국")+COUNTIF(AK279:AK298,"답공")</f>
        <v>0</v>
      </c>
      <c r="AB280" s="770" t="s">
        <v>26</v>
      </c>
      <c r="AC280" s="770">
        <f>SUMIF(AJ279:AJ298,"답국",F279:F298)+SUMIF(AJ279:AJ298,"답공",F279:F298)</f>
        <v>0</v>
      </c>
      <c r="AD280" s="771">
        <f>SUMIF(AK279:AK298,"답국",K279:K298)+SUMIF(AK279:AK298,"답공",K279:K298)</f>
        <v>0</v>
      </c>
      <c r="AE280" s="770">
        <f t="shared" si="85"/>
        <v>0</v>
      </c>
      <c r="AF280" s="771">
        <f t="shared" si="86"/>
        <v>0</v>
      </c>
      <c r="AG280" s="770" t="s">
        <v>26</v>
      </c>
      <c r="AH280" s="770">
        <f t="shared" si="87"/>
        <v>0</v>
      </c>
      <c r="AI280" s="771">
        <f t="shared" si="88"/>
        <v>0</v>
      </c>
      <c r="AJ280" s="770" t="str">
        <f t="shared" si="89"/>
        <v/>
      </c>
      <c r="AK280" s="770" t="str">
        <f t="shared" si="90"/>
        <v/>
      </c>
      <c r="AL280" s="772"/>
    </row>
    <row r="281" spans="1:38" s="773" customFormat="1" ht="24" hidden="1" customHeight="1" x14ac:dyDescent="0.15">
      <c r="A281" s="884">
        <v>263</v>
      </c>
      <c r="B281" s="972"/>
      <c r="C281" s="972"/>
      <c r="D281" s="972"/>
      <c r="E281" s="973"/>
      <c r="F281" s="973"/>
      <c r="G281" s="942"/>
      <c r="H281" s="905"/>
      <c r="I281" s="905"/>
      <c r="J281" s="942"/>
      <c r="K281" s="930"/>
      <c r="L281" s="959"/>
      <c r="M281" s="655"/>
      <c r="N281" s="960"/>
      <c r="O281" s="895"/>
      <c r="P281" s="980"/>
      <c r="Q281" s="980"/>
      <c r="R281" s="980"/>
      <c r="S281" s="982"/>
      <c r="T281" s="770" t="s">
        <v>44</v>
      </c>
      <c r="U281" s="770">
        <f>COUNTIF(D279:D298,"임")</f>
        <v>0</v>
      </c>
      <c r="V281" s="771">
        <f>COUNTIF(I279:I298,"임")</f>
        <v>0</v>
      </c>
      <c r="W281" s="770" t="s">
        <v>26</v>
      </c>
      <c r="X281" s="770">
        <f>SUMIF(D279:D298,"임",F279:F298)</f>
        <v>0</v>
      </c>
      <c r="Y281" s="771">
        <f>SUMIF(I279:I298,"임",K279:K298)</f>
        <v>0</v>
      </c>
      <c r="Z281" s="770">
        <f>COUNTIF(AJ279:AJ298,"임국")+COUNTIF(AJ279:AJ298,"임공")</f>
        <v>0</v>
      </c>
      <c r="AA281" s="771">
        <f>COUNTIF(AK279:AK298,"임국")+COUNTIF(AK279:AK298,"임공")</f>
        <v>0</v>
      </c>
      <c r="AB281" s="770" t="s">
        <v>26</v>
      </c>
      <c r="AC281" s="770">
        <f>SUMIF(AJ279:AJ298,"임국",F279:F298)+SUMIF(AJ279:AJ298,"임공",F279:F298)</f>
        <v>0</v>
      </c>
      <c r="AD281" s="771">
        <f>SUMIF(AK279:AK298,"임국",K279:K298)+SUMIF(AK279:AK298,"임공",K279:K298)</f>
        <v>0</v>
      </c>
      <c r="AE281" s="770">
        <f t="shared" si="85"/>
        <v>0</v>
      </c>
      <c r="AF281" s="771">
        <f t="shared" si="86"/>
        <v>0</v>
      </c>
      <c r="AG281" s="770" t="s">
        <v>26</v>
      </c>
      <c r="AH281" s="770">
        <f t="shared" si="87"/>
        <v>0</v>
      </c>
      <c r="AI281" s="771">
        <f t="shared" si="88"/>
        <v>0</v>
      </c>
      <c r="AJ281" s="770" t="str">
        <f t="shared" si="89"/>
        <v/>
      </c>
      <c r="AK281" s="770" t="str">
        <f t="shared" si="90"/>
        <v/>
      </c>
      <c r="AL281" s="772"/>
    </row>
    <row r="282" spans="1:38" s="773" customFormat="1" ht="24" hidden="1" customHeight="1" x14ac:dyDescent="0.15">
      <c r="A282" s="884">
        <v>264</v>
      </c>
      <c r="B282" s="972"/>
      <c r="C282" s="972"/>
      <c r="D282" s="972"/>
      <c r="E282" s="973"/>
      <c r="F282" s="973"/>
      <c r="G282" s="930"/>
      <c r="H282" s="987"/>
      <c r="I282" s="987"/>
      <c r="J282" s="930"/>
      <c r="K282" s="930"/>
      <c r="L282" s="988"/>
      <c r="M282" s="980"/>
      <c r="N282" s="989"/>
      <c r="O282" s="990"/>
      <c r="P282" s="980"/>
      <c r="Q282" s="980"/>
      <c r="R282" s="980"/>
      <c r="S282" s="982"/>
      <c r="T282" s="770" t="s">
        <v>45</v>
      </c>
      <c r="U282" s="770">
        <f>COUNTIF(D279:D298,"대")</f>
        <v>0</v>
      </c>
      <c r="V282" s="771">
        <f>COUNTIF(I279:I298,"대")</f>
        <v>0</v>
      </c>
      <c r="W282" s="770" t="s">
        <v>26</v>
      </c>
      <c r="X282" s="770">
        <f>SUMIF(D279:D298,"대",F279:F298)</f>
        <v>0</v>
      </c>
      <c r="Y282" s="771">
        <f>SUMIF(I279:I298,"대",K279:K298)</f>
        <v>0</v>
      </c>
      <c r="Z282" s="770">
        <f>COUNTIF(AJ279:AJ298,"대국")+COUNTIF(AJ279:AJ298,"대공")</f>
        <v>0</v>
      </c>
      <c r="AA282" s="771">
        <f>COUNTIF(AK279:AK298,"대국")+COUNTIF(AK279:AK298,"대공")</f>
        <v>0</v>
      </c>
      <c r="AB282" s="770" t="s">
        <v>26</v>
      </c>
      <c r="AC282" s="770">
        <f>SUMIF(AJ279:AJ298,"대국",F279:F298)+SUMIF(AJ279:AJ298,"대공",F279:F298)</f>
        <v>0</v>
      </c>
      <c r="AD282" s="771">
        <f>SUMIF(AK279:AK298,"대국",K279:K298)+SUMIF(AK279:AK298,"대공",K279:K298)</f>
        <v>0</v>
      </c>
      <c r="AE282" s="770">
        <f t="shared" si="85"/>
        <v>0</v>
      </c>
      <c r="AF282" s="771">
        <f t="shared" si="86"/>
        <v>0</v>
      </c>
      <c r="AG282" s="770" t="s">
        <v>26</v>
      </c>
      <c r="AH282" s="770">
        <f t="shared" si="87"/>
        <v>0</v>
      </c>
      <c r="AI282" s="771">
        <f t="shared" si="88"/>
        <v>0</v>
      </c>
      <c r="AJ282" s="770" t="str">
        <f t="shared" si="89"/>
        <v/>
      </c>
      <c r="AK282" s="770" t="str">
        <f t="shared" si="90"/>
        <v/>
      </c>
      <c r="AL282" s="772"/>
    </row>
    <row r="283" spans="1:38" s="773" customFormat="1" ht="24" hidden="1" customHeight="1" x14ac:dyDescent="0.15">
      <c r="A283" s="884">
        <v>265</v>
      </c>
      <c r="B283" s="972"/>
      <c r="C283" s="972"/>
      <c r="D283" s="972"/>
      <c r="E283" s="973"/>
      <c r="F283" s="973"/>
      <c r="G283" s="930"/>
      <c r="H283" s="987"/>
      <c r="I283" s="987"/>
      <c r="J283" s="930"/>
      <c r="K283" s="930"/>
      <c r="L283" s="988"/>
      <c r="M283" s="980"/>
      <c r="N283" s="991"/>
      <c r="O283" s="992"/>
      <c r="P283" s="980"/>
      <c r="Q283" s="980"/>
      <c r="R283" s="980"/>
      <c r="S283" s="982"/>
      <c r="T283" s="770" t="s">
        <v>31</v>
      </c>
      <c r="U283" s="770">
        <f>COUNTIF(D279:D298,"도")</f>
        <v>0</v>
      </c>
      <c r="V283" s="771">
        <f>COUNTIF(I279:I298,"도")</f>
        <v>0</v>
      </c>
      <c r="W283" s="770" t="s">
        <v>26</v>
      </c>
      <c r="X283" s="770">
        <f>SUMIF(D279:D298,"도",F279:F298)</f>
        <v>0</v>
      </c>
      <c r="Y283" s="771">
        <f>SUMIF(I279:I298,"도",K279:K298)</f>
        <v>0</v>
      </c>
      <c r="Z283" s="770">
        <f>COUNTIF(AJ279:AJ298,"도국")+COUNTIF(AJ279:AJ298,"도공")</f>
        <v>0</v>
      </c>
      <c r="AA283" s="771">
        <f>COUNTIF(AK279:AK298,"도국")+COUNTIF(AK279:AK298,"도공")</f>
        <v>0</v>
      </c>
      <c r="AB283" s="770" t="s">
        <v>26</v>
      </c>
      <c r="AC283" s="770">
        <f>SUMIF(AJ279:AJ298,"도국",F279:F298)+SUMIF(AJ279:AJ298,"도공",F279:F298)</f>
        <v>0</v>
      </c>
      <c r="AD283" s="771">
        <f>SUMIF(AK279:AK298,"도국",K279:K298)+SUMIF(AK279:AK298,"도공",K279:K298)</f>
        <v>0</v>
      </c>
      <c r="AE283" s="770">
        <f t="shared" si="85"/>
        <v>0</v>
      </c>
      <c r="AF283" s="771">
        <f t="shared" si="86"/>
        <v>0</v>
      </c>
      <c r="AG283" s="770" t="s">
        <v>26</v>
      </c>
      <c r="AH283" s="770">
        <f t="shared" si="87"/>
        <v>0</v>
      </c>
      <c r="AI283" s="771">
        <f t="shared" si="88"/>
        <v>0</v>
      </c>
      <c r="AJ283" s="770" t="str">
        <f t="shared" si="89"/>
        <v/>
      </c>
      <c r="AK283" s="770" t="str">
        <f t="shared" si="90"/>
        <v/>
      </c>
      <c r="AL283" s="772"/>
    </row>
    <row r="284" spans="1:38" s="773" customFormat="1" ht="24" hidden="1" customHeight="1" x14ac:dyDescent="0.15">
      <c r="A284" s="884">
        <v>266</v>
      </c>
      <c r="B284" s="972"/>
      <c r="C284" s="972"/>
      <c r="D284" s="972"/>
      <c r="E284" s="973"/>
      <c r="F284" s="973"/>
      <c r="G284" s="930"/>
      <c r="H284" s="987"/>
      <c r="I284" s="987"/>
      <c r="J284" s="930"/>
      <c r="K284" s="930"/>
      <c r="L284" s="988"/>
      <c r="M284" s="980"/>
      <c r="N284" s="991"/>
      <c r="O284" s="992"/>
      <c r="P284" s="980"/>
      <c r="Q284" s="980"/>
      <c r="R284" s="980"/>
      <c r="S284" s="982"/>
      <c r="T284" s="770" t="s">
        <v>32</v>
      </c>
      <c r="U284" s="786">
        <f>COUNTIF(D279:D298,"천")</f>
        <v>0</v>
      </c>
      <c r="V284" s="787">
        <f>COUNTIF(I279:I298,"천")</f>
        <v>0</v>
      </c>
      <c r="W284" s="770" t="s">
        <v>26</v>
      </c>
      <c r="X284" s="770">
        <f>SUMIF(D279:D298,"천",F279:F298)</f>
        <v>0</v>
      </c>
      <c r="Y284" s="771">
        <f>SUMIF(I279:I298,"천",K279:K298)</f>
        <v>0</v>
      </c>
      <c r="Z284" s="770">
        <f>COUNTIF(AJ279:AJ298,"천국")+COUNTIF(AJ279:AJ298,"천공")</f>
        <v>0</v>
      </c>
      <c r="AA284" s="771">
        <f>COUNTIF(AK279:AK298,"천국")+COUNTIF(AK279:AK298,"천공")</f>
        <v>0</v>
      </c>
      <c r="AB284" s="770" t="s">
        <v>26</v>
      </c>
      <c r="AC284" s="770">
        <f>SUMIF(AJ279:AJ298,"천국",F279:F298)+SUMIF(AJ279:AJ298,"천공",F279:F298)</f>
        <v>0</v>
      </c>
      <c r="AD284" s="771">
        <f>SUMIF(AK279:AK298,"천국",K279:K298)+SUMIF(AK279:AK298,"천공",K279:K298)</f>
        <v>0</v>
      </c>
      <c r="AE284" s="770">
        <f t="shared" si="85"/>
        <v>0</v>
      </c>
      <c r="AF284" s="771">
        <f t="shared" si="86"/>
        <v>0</v>
      </c>
      <c r="AG284" s="770" t="s">
        <v>26</v>
      </c>
      <c r="AH284" s="770">
        <f t="shared" si="87"/>
        <v>0</v>
      </c>
      <c r="AI284" s="771">
        <f t="shared" si="88"/>
        <v>0</v>
      </c>
      <c r="AJ284" s="770" t="str">
        <f t="shared" si="89"/>
        <v/>
      </c>
      <c r="AK284" s="770" t="str">
        <f t="shared" si="90"/>
        <v/>
      </c>
      <c r="AL284" s="772"/>
    </row>
    <row r="285" spans="1:38" s="773" customFormat="1" ht="24" hidden="1" customHeight="1" x14ac:dyDescent="0.15">
      <c r="A285" s="884">
        <v>267</v>
      </c>
      <c r="B285" s="972"/>
      <c r="C285" s="972"/>
      <c r="D285" s="972"/>
      <c r="E285" s="973"/>
      <c r="F285" s="973"/>
      <c r="G285" s="930"/>
      <c r="H285" s="987"/>
      <c r="I285" s="987"/>
      <c r="J285" s="930"/>
      <c r="K285" s="930"/>
      <c r="L285" s="988"/>
      <c r="M285" s="980"/>
      <c r="N285" s="991"/>
      <c r="O285" s="992"/>
      <c r="P285" s="980"/>
      <c r="Q285" s="980"/>
      <c r="R285" s="980"/>
      <c r="S285" s="982"/>
      <c r="T285" s="770" t="s">
        <v>33</v>
      </c>
      <c r="U285" s="770">
        <f>COUNTIF(D279:D298,"구")</f>
        <v>0</v>
      </c>
      <c r="V285" s="771">
        <f>COUNTIF(I279:I298,"구")</f>
        <v>0</v>
      </c>
      <c r="W285" s="770" t="s">
        <v>26</v>
      </c>
      <c r="X285" s="770">
        <f>SUMIF(D279:D298,"구",F279:F298)</f>
        <v>0</v>
      </c>
      <c r="Y285" s="771">
        <f>SUMIF(I279:I298,"구",K279:K298)</f>
        <v>0</v>
      </c>
      <c r="Z285" s="770">
        <f>COUNTIF(AJ279:AJ298,"구국")+COUNTIF(AJ279:AJ298,"구공")</f>
        <v>0</v>
      </c>
      <c r="AA285" s="771">
        <f>COUNTIF(AK279:AK298,"구국")+COUNTIF(AK279:AK298,"구공")</f>
        <v>0</v>
      </c>
      <c r="AB285" s="770" t="s">
        <v>26</v>
      </c>
      <c r="AC285" s="770">
        <f>SUMIF(AJ279:AJ298,"구국",F279:F298)+SUMIF(AJ279:AJ298,"구공",F279:F298)</f>
        <v>0</v>
      </c>
      <c r="AD285" s="771">
        <f>SUMIF(AK279:AK298,"구국",K279:K298)+SUMIF(AK279:AK298,"구공",K279:K298)</f>
        <v>0</v>
      </c>
      <c r="AE285" s="770">
        <f t="shared" si="85"/>
        <v>0</v>
      </c>
      <c r="AF285" s="771">
        <f t="shared" si="86"/>
        <v>0</v>
      </c>
      <c r="AG285" s="770" t="s">
        <v>26</v>
      </c>
      <c r="AH285" s="770">
        <f t="shared" si="87"/>
        <v>0</v>
      </c>
      <c r="AI285" s="771">
        <f t="shared" si="88"/>
        <v>0</v>
      </c>
      <c r="AJ285" s="770" t="str">
        <f t="shared" si="89"/>
        <v/>
      </c>
      <c r="AK285" s="770" t="str">
        <f t="shared" si="90"/>
        <v/>
      </c>
      <c r="AL285" s="772"/>
    </row>
    <row r="286" spans="1:38" s="773" customFormat="1" ht="24" hidden="1" customHeight="1" x14ac:dyDescent="0.15">
      <c r="A286" s="884">
        <v>268</v>
      </c>
      <c r="B286" s="972"/>
      <c r="C286" s="972"/>
      <c r="D286" s="972"/>
      <c r="E286" s="973"/>
      <c r="F286" s="973"/>
      <c r="G286" s="930"/>
      <c r="H286" s="987"/>
      <c r="I286" s="987"/>
      <c r="J286" s="930"/>
      <c r="K286" s="930"/>
      <c r="L286" s="988"/>
      <c r="M286" s="980"/>
      <c r="N286" s="991"/>
      <c r="O286" s="992"/>
      <c r="P286" s="980"/>
      <c r="Q286" s="980"/>
      <c r="R286" s="980"/>
      <c r="S286" s="982"/>
      <c r="T286" s="770" t="s">
        <v>34</v>
      </c>
      <c r="U286" s="770">
        <f>COUNTIF(D279:D298,"제")</f>
        <v>0</v>
      </c>
      <c r="V286" s="771">
        <f>COUNTIF(I279:I298,"제")</f>
        <v>0</v>
      </c>
      <c r="W286" s="770" t="s">
        <v>26</v>
      </c>
      <c r="X286" s="770">
        <f>SUMIF(D279:D298,"제",F279:F298)</f>
        <v>0</v>
      </c>
      <c r="Y286" s="771">
        <f>SUMIF(I279:I298,"제",K279:K298)</f>
        <v>0</v>
      </c>
      <c r="Z286" s="770">
        <f>COUNTIF(AJ279:AJ298,"제국")+COUNTIF(AJ279:AJ298,"제공")</f>
        <v>0</v>
      </c>
      <c r="AA286" s="771">
        <f>COUNTIF(AK279:AK298,"제국")+COUNTIF(AK279:AK298,"제공")</f>
        <v>0</v>
      </c>
      <c r="AB286" s="770" t="s">
        <v>26</v>
      </c>
      <c r="AC286" s="770">
        <f>SUMIF(AJ279:AJ298,"제국",F279:F298)+SUMIF(AJ279:AJ298,"제공",F279:F298)</f>
        <v>0</v>
      </c>
      <c r="AD286" s="771">
        <f>SUMIF(AK279:AK298,"제국",K279:K298)+SUMIF(AK279:AK298,"제공",K279:K298)</f>
        <v>0</v>
      </c>
      <c r="AE286" s="770">
        <f t="shared" si="85"/>
        <v>0</v>
      </c>
      <c r="AF286" s="771">
        <f t="shared" si="86"/>
        <v>0</v>
      </c>
      <c r="AG286" s="770" t="s">
        <v>26</v>
      </c>
      <c r="AH286" s="770">
        <f t="shared" si="87"/>
        <v>0</v>
      </c>
      <c r="AI286" s="771">
        <f t="shared" si="88"/>
        <v>0</v>
      </c>
      <c r="AJ286" s="770" t="str">
        <f t="shared" si="89"/>
        <v/>
      </c>
      <c r="AK286" s="770" t="str">
        <f t="shared" si="90"/>
        <v/>
      </c>
      <c r="AL286" s="772"/>
    </row>
    <row r="287" spans="1:38" s="773" customFormat="1" ht="24" hidden="1" customHeight="1" x14ac:dyDescent="0.15">
      <c r="A287" s="884">
        <v>269</v>
      </c>
      <c r="B287" s="972"/>
      <c r="C287" s="839"/>
      <c r="D287" s="839"/>
      <c r="E287" s="973"/>
      <c r="F287" s="973"/>
      <c r="G287" s="930"/>
      <c r="H287" s="987"/>
      <c r="I287" s="987"/>
      <c r="J287" s="930"/>
      <c r="K287" s="930"/>
      <c r="L287" s="988"/>
      <c r="M287" s="980"/>
      <c r="N287" s="991"/>
      <c r="O287" s="992"/>
      <c r="P287" s="980"/>
      <c r="Q287" s="980"/>
      <c r="R287" s="980"/>
      <c r="S287" s="982"/>
      <c r="T287" s="770" t="s">
        <v>46</v>
      </c>
      <c r="U287" s="770">
        <f>COUNTIF(D279:D298,"유")</f>
        <v>0</v>
      </c>
      <c r="V287" s="771">
        <f>COUNTIF(I279:I298,"유")</f>
        <v>0</v>
      </c>
      <c r="W287" s="770" t="s">
        <v>26</v>
      </c>
      <c r="X287" s="770">
        <f>SUMIF(D279:D298,"유",F279:F298)</f>
        <v>0</v>
      </c>
      <c r="Y287" s="771">
        <f>SUMIF(I279:I298,"유",K279:K298)</f>
        <v>0</v>
      </c>
      <c r="Z287" s="770">
        <f>COUNTIF(AJ279:AJ298,"유국")+COUNTIF(AJ279:AJ298,"유공")</f>
        <v>0</v>
      </c>
      <c r="AA287" s="771">
        <f>COUNTIF(AK279:AK298,"유국")+COUNTIF(AK279:AK298,"유공")</f>
        <v>0</v>
      </c>
      <c r="AB287" s="770" t="s">
        <v>26</v>
      </c>
      <c r="AC287" s="770">
        <f>SUMIF(AJ279:AJ298,"유국",F279:F298)+SUMIF(AJ279:AJ298,"유공",F279:F298)</f>
        <v>0</v>
      </c>
      <c r="AD287" s="771">
        <f>SUMIF(AK279:AK298,"유국",K279:K298)+SUMIF(AK279:AK298,"유공",K279:K298)</f>
        <v>0</v>
      </c>
      <c r="AE287" s="770">
        <f t="shared" si="85"/>
        <v>0</v>
      </c>
      <c r="AF287" s="771">
        <f t="shared" si="86"/>
        <v>0</v>
      </c>
      <c r="AG287" s="770" t="s">
        <v>26</v>
      </c>
      <c r="AH287" s="770">
        <f t="shared" si="87"/>
        <v>0</v>
      </c>
      <c r="AI287" s="771">
        <f t="shared" si="88"/>
        <v>0</v>
      </c>
      <c r="AJ287" s="770" t="str">
        <f t="shared" si="89"/>
        <v/>
      </c>
      <c r="AK287" s="770" t="str">
        <f t="shared" si="90"/>
        <v/>
      </c>
      <c r="AL287" s="772"/>
    </row>
    <row r="288" spans="1:38" s="773" customFormat="1" ht="24" hidden="1" customHeight="1" x14ac:dyDescent="0.15">
      <c r="A288" s="884">
        <v>270</v>
      </c>
      <c r="B288" s="972"/>
      <c r="C288" s="972"/>
      <c r="D288" s="972"/>
      <c r="E288" s="973"/>
      <c r="F288" s="973"/>
      <c r="G288" s="930"/>
      <c r="H288" s="987"/>
      <c r="I288" s="987"/>
      <c r="J288" s="930"/>
      <c r="K288" s="930"/>
      <c r="L288" s="988"/>
      <c r="M288" s="980"/>
      <c r="N288" s="991"/>
      <c r="O288" s="992"/>
      <c r="P288" s="980"/>
      <c r="Q288" s="980"/>
      <c r="R288" s="980"/>
      <c r="S288" s="982"/>
      <c r="T288" s="770" t="s">
        <v>47</v>
      </c>
      <c r="U288" s="770">
        <f>COUNTIF(D279:D298,"과")</f>
        <v>0</v>
      </c>
      <c r="V288" s="771">
        <f>COUNTIF(I279:I298,"과")</f>
        <v>0</v>
      </c>
      <c r="W288" s="770" t="s">
        <v>26</v>
      </c>
      <c r="X288" s="770">
        <f>SUMIF(D279:D298,"과",F279:F298)</f>
        <v>0</v>
      </c>
      <c r="Y288" s="771">
        <f>SUMIF(I279:I298,"과",K279:K298)</f>
        <v>0</v>
      </c>
      <c r="Z288" s="770">
        <f>COUNTIF(AJ279:AJ298,"과국")+COUNTIF(AJ279:AJ298,"과공")</f>
        <v>0</v>
      </c>
      <c r="AA288" s="771">
        <f>COUNTIF(AK279:AK298,"과국")+COUNTIF(AK279:AK298,"과공")</f>
        <v>0</v>
      </c>
      <c r="AB288" s="770" t="s">
        <v>26</v>
      </c>
      <c r="AC288" s="770">
        <f>SUMIF(AJ279:AJ298,"과국",F279:F298)+SUMIF(AJ279:AJ298,"과공",F279:F298)</f>
        <v>0</v>
      </c>
      <c r="AD288" s="771">
        <f>SUMIF(AK279:AK298,"과국",K279:K298)+SUMIF(AK279:AK298,"과공",K279:K298)</f>
        <v>0</v>
      </c>
      <c r="AE288" s="770">
        <f t="shared" si="85"/>
        <v>0</v>
      </c>
      <c r="AF288" s="771">
        <f t="shared" si="86"/>
        <v>0</v>
      </c>
      <c r="AG288" s="770" t="s">
        <v>26</v>
      </c>
      <c r="AH288" s="770">
        <f t="shared" si="87"/>
        <v>0</v>
      </c>
      <c r="AI288" s="771">
        <f t="shared" si="88"/>
        <v>0</v>
      </c>
      <c r="AJ288" s="770" t="str">
        <f t="shared" si="89"/>
        <v/>
      </c>
      <c r="AK288" s="770" t="str">
        <f t="shared" si="90"/>
        <v/>
      </c>
      <c r="AL288" s="772"/>
    </row>
    <row r="289" spans="1:38" s="773" customFormat="1" ht="24" hidden="1" customHeight="1" x14ac:dyDescent="0.15">
      <c r="A289" s="884">
        <v>271</v>
      </c>
      <c r="B289" s="972"/>
      <c r="C289" s="972"/>
      <c r="D289" s="972"/>
      <c r="E289" s="973"/>
      <c r="F289" s="973"/>
      <c r="G289" s="930"/>
      <c r="H289" s="987"/>
      <c r="I289" s="987"/>
      <c r="J289" s="930"/>
      <c r="K289" s="930"/>
      <c r="L289" s="988"/>
      <c r="M289" s="980"/>
      <c r="N289" s="991"/>
      <c r="O289" s="992"/>
      <c r="P289" s="980"/>
      <c r="Q289" s="980"/>
      <c r="R289" s="980"/>
      <c r="S289" s="982"/>
      <c r="T289" s="770" t="s">
        <v>36</v>
      </c>
      <c r="U289" s="770">
        <f>COUNTIF(D279:D298,"묘")</f>
        <v>0</v>
      </c>
      <c r="V289" s="771">
        <f>COUNTIF(I279:I298,"묘")</f>
        <v>0</v>
      </c>
      <c r="W289" s="770" t="s">
        <v>26</v>
      </c>
      <c r="X289" s="770">
        <f>SUMIF(D279:D298,"묘",F279:F298)</f>
        <v>0</v>
      </c>
      <c r="Y289" s="771">
        <f>SUMIF(I279:I298,"묘",K279:K298)</f>
        <v>0</v>
      </c>
      <c r="Z289" s="770">
        <f>COUNTIF(AJ279:AJ298,"묘국")+COUNTIF(AJ279:AJ298,"묘공")</f>
        <v>0</v>
      </c>
      <c r="AA289" s="771">
        <f>COUNTIF(AK279:AK298,"묘국")+COUNTIF(AK279:AK298,"묘공")</f>
        <v>0</v>
      </c>
      <c r="AB289" s="770" t="s">
        <v>26</v>
      </c>
      <c r="AC289" s="770">
        <f>SUMIF(AJ279:AJ298,"묘국",F279:F298)+SUMIF(AJ279:AJ298,"묘공",F279:F298)</f>
        <v>0</v>
      </c>
      <c r="AD289" s="771">
        <f>SUMIF(AK279:AK298,"묘국",K279:K298)+SUMIF(AK279:AK298,"묘공",K279:K298)</f>
        <v>0</v>
      </c>
      <c r="AE289" s="770">
        <f t="shared" si="85"/>
        <v>0</v>
      </c>
      <c r="AF289" s="771">
        <f t="shared" si="86"/>
        <v>0</v>
      </c>
      <c r="AG289" s="770" t="s">
        <v>26</v>
      </c>
      <c r="AH289" s="770">
        <f t="shared" si="87"/>
        <v>0</v>
      </c>
      <c r="AI289" s="771">
        <f t="shared" si="88"/>
        <v>0</v>
      </c>
      <c r="AJ289" s="770" t="str">
        <f t="shared" si="89"/>
        <v/>
      </c>
      <c r="AK289" s="770" t="str">
        <f t="shared" si="90"/>
        <v/>
      </c>
      <c r="AL289" s="772"/>
    </row>
    <row r="290" spans="1:38" s="773" customFormat="1" ht="24" hidden="1" customHeight="1" x14ac:dyDescent="0.15">
      <c r="A290" s="884">
        <v>272</v>
      </c>
      <c r="B290" s="972"/>
      <c r="C290" s="972"/>
      <c r="D290" s="972"/>
      <c r="E290" s="973"/>
      <c r="F290" s="973"/>
      <c r="G290" s="930"/>
      <c r="H290" s="987"/>
      <c r="I290" s="987"/>
      <c r="J290" s="930"/>
      <c r="K290" s="930"/>
      <c r="L290" s="988"/>
      <c r="M290" s="980"/>
      <c r="N290" s="991"/>
      <c r="O290" s="992"/>
      <c r="P290" s="980"/>
      <c r="Q290" s="980"/>
      <c r="R290" s="980"/>
      <c r="S290" s="982"/>
      <c r="T290" s="770" t="s">
        <v>39</v>
      </c>
      <c r="U290" s="770">
        <f>COUNTIF(D279:D298,"수")</f>
        <v>0</v>
      </c>
      <c r="V290" s="771">
        <f>COUNTIF(I279:I298,"수")</f>
        <v>0</v>
      </c>
      <c r="W290" s="770" t="s">
        <v>26</v>
      </c>
      <c r="X290" s="770">
        <f>SUMIF(D279:D298,"수",F279:F298)</f>
        <v>0</v>
      </c>
      <c r="Y290" s="771">
        <f>SUMIF(I279:I298,"수",K279:K298)</f>
        <v>0</v>
      </c>
      <c r="Z290" s="770">
        <f>COUNTIF(AJ279:AJ298,"수국")+COUNTIF(AJ279:AJ298,"수공")</f>
        <v>0</v>
      </c>
      <c r="AA290" s="771">
        <f>COUNTIF(AK279:AK298,"수국")+COUNTIF(AK279:AK298,"수공")</f>
        <v>0</v>
      </c>
      <c r="AB290" s="770" t="s">
        <v>26</v>
      </c>
      <c r="AC290" s="770">
        <f>SUMIF(AJ279:AJ298,"수국",F279:F298)+SUMIF(AJ279:AJ298,"수공",F279:F298)</f>
        <v>0</v>
      </c>
      <c r="AD290" s="771">
        <f>SUMIF(AK279:AK298,"수국",K279:K298)+SUMIF(AK279:AK298,"수공",K279:K298)</f>
        <v>0</v>
      </c>
      <c r="AE290" s="770">
        <f t="shared" si="85"/>
        <v>0</v>
      </c>
      <c r="AF290" s="771">
        <f t="shared" si="86"/>
        <v>0</v>
      </c>
      <c r="AG290" s="770" t="s">
        <v>26</v>
      </c>
      <c r="AH290" s="770">
        <f t="shared" si="87"/>
        <v>0</v>
      </c>
      <c r="AI290" s="771">
        <f t="shared" si="88"/>
        <v>0</v>
      </c>
      <c r="AJ290" s="770" t="str">
        <f t="shared" si="89"/>
        <v/>
      </c>
      <c r="AK290" s="770" t="str">
        <f t="shared" si="90"/>
        <v/>
      </c>
      <c r="AL290" s="772"/>
    </row>
    <row r="291" spans="1:38" s="773" customFormat="1" ht="24" hidden="1" customHeight="1" x14ac:dyDescent="0.15">
      <c r="A291" s="884">
        <v>273</v>
      </c>
      <c r="B291" s="972"/>
      <c r="C291" s="972"/>
      <c r="D291" s="972"/>
      <c r="E291" s="973"/>
      <c r="F291" s="973"/>
      <c r="G291" s="930"/>
      <c r="H291" s="987"/>
      <c r="I291" s="987"/>
      <c r="J291" s="930"/>
      <c r="K291" s="930"/>
      <c r="L291" s="988"/>
      <c r="M291" s="980"/>
      <c r="N291" s="991"/>
      <c r="O291" s="992"/>
      <c r="P291" s="980"/>
      <c r="Q291" s="980"/>
      <c r="R291" s="980"/>
      <c r="S291" s="982"/>
      <c r="T291" s="770" t="s">
        <v>35</v>
      </c>
      <c r="U291" s="770">
        <f>COUNTIF(D279:D298,"잡")</f>
        <v>0</v>
      </c>
      <c r="V291" s="771">
        <f>COUNTIF(I279:I298,"잡")</f>
        <v>0</v>
      </c>
      <c r="W291" s="770" t="s">
        <v>26</v>
      </c>
      <c r="X291" s="770">
        <f>SUMIF(D279:D298,"잡",F279:F298)</f>
        <v>0</v>
      </c>
      <c r="Y291" s="771">
        <f>SUMIF(I279:I298,"잡",K279:K298)</f>
        <v>0</v>
      </c>
      <c r="Z291" s="770">
        <f>COUNTIF(AJ279:AJ298,"잡국")+COUNTIF(AJ279:AJ298,"잡공")</f>
        <v>0</v>
      </c>
      <c r="AA291" s="771">
        <f>COUNTIF(AK279:AK298,"잡국")+COUNTIF(AK279:AK298,"잡공")</f>
        <v>0</v>
      </c>
      <c r="AB291" s="770" t="s">
        <v>26</v>
      </c>
      <c r="AC291" s="770">
        <f>SUMIF(AJ279:AJ298,"잡국",F279:F298)+SUMIF(AJ279:AJ298,"잡공",F279:F298)</f>
        <v>0</v>
      </c>
      <c r="AD291" s="771">
        <f>SUMIF(AK279:AK298,"잡국",K279:K298)+SUMIF(AK279:AK298,"잡공",K279:K298)</f>
        <v>0</v>
      </c>
      <c r="AE291" s="770">
        <f t="shared" si="85"/>
        <v>0</v>
      </c>
      <c r="AF291" s="771">
        <f t="shared" si="86"/>
        <v>0</v>
      </c>
      <c r="AG291" s="770" t="s">
        <v>26</v>
      </c>
      <c r="AH291" s="770">
        <f t="shared" si="87"/>
        <v>0</v>
      </c>
      <c r="AI291" s="771">
        <f t="shared" si="88"/>
        <v>0</v>
      </c>
      <c r="AJ291" s="770" t="str">
        <f t="shared" si="89"/>
        <v/>
      </c>
      <c r="AK291" s="770" t="str">
        <f t="shared" si="90"/>
        <v/>
      </c>
      <c r="AL291" s="772"/>
    </row>
    <row r="292" spans="1:38" s="773" customFormat="1" ht="24" hidden="1" customHeight="1" x14ac:dyDescent="0.15">
      <c r="A292" s="884">
        <v>274</v>
      </c>
      <c r="B292" s="972"/>
      <c r="C292" s="972"/>
      <c r="D292" s="972"/>
      <c r="E292" s="973"/>
      <c r="F292" s="973"/>
      <c r="G292" s="930"/>
      <c r="H292" s="987"/>
      <c r="I292" s="987"/>
      <c r="J292" s="930"/>
      <c r="K292" s="930"/>
      <c r="L292" s="988"/>
      <c r="M292" s="980"/>
      <c r="N292" s="991"/>
      <c r="O292" s="992"/>
      <c r="P292" s="980"/>
      <c r="Q292" s="980"/>
      <c r="R292" s="980"/>
      <c r="S292" s="982"/>
      <c r="T292" s="770" t="s">
        <v>51</v>
      </c>
      <c r="U292" s="770">
        <f>COUNTIF(D279:D298,"체")</f>
        <v>0</v>
      </c>
      <c r="V292" s="771">
        <f>COUNTIF(I279:I298,"체")</f>
        <v>0</v>
      </c>
      <c r="W292" s="770" t="s">
        <v>26</v>
      </c>
      <c r="X292" s="770">
        <f>SUMIF(D279:D298,"체",F279:F298)</f>
        <v>0</v>
      </c>
      <c r="Y292" s="771">
        <f>SUMIF(I279:I298,"체",K279:K298)</f>
        <v>0</v>
      </c>
      <c r="Z292" s="770">
        <f>COUNTIF(AJ279:AJ298,"체국")+COUNTIF(AJ279:AJ298,"체공")</f>
        <v>0</v>
      </c>
      <c r="AA292" s="771">
        <f>COUNTIF(AK279:AK298,"체국")+COUNTIF(AK279:AK298,"체공")</f>
        <v>0</v>
      </c>
      <c r="AB292" s="770" t="s">
        <v>26</v>
      </c>
      <c r="AC292" s="770">
        <f>SUMIF(AJ279:AJ298,"체국",F279:F298)+SUMIF(AJ279:AJ298,"체공",F279:F298)</f>
        <v>0</v>
      </c>
      <c r="AD292" s="771">
        <f>SUMIF(AK279:AK298,"체국",K279:K298)+SUMIF(AK279:AK298,"체공",K279:K298)</f>
        <v>0</v>
      </c>
      <c r="AE292" s="770">
        <f t="shared" si="85"/>
        <v>0</v>
      </c>
      <c r="AF292" s="771">
        <f t="shared" si="86"/>
        <v>0</v>
      </c>
      <c r="AG292" s="770" t="s">
        <v>26</v>
      </c>
      <c r="AH292" s="770">
        <f t="shared" si="87"/>
        <v>0</v>
      </c>
      <c r="AI292" s="771">
        <f t="shared" si="88"/>
        <v>0</v>
      </c>
      <c r="AJ292" s="770" t="str">
        <f t="shared" si="89"/>
        <v/>
      </c>
      <c r="AK292" s="770" t="str">
        <f t="shared" si="90"/>
        <v/>
      </c>
      <c r="AL292" s="772"/>
    </row>
    <row r="293" spans="1:38" s="773" customFormat="1" ht="24" hidden="1" customHeight="1" x14ac:dyDescent="0.15">
      <c r="A293" s="884">
        <v>275</v>
      </c>
      <c r="B293" s="972"/>
      <c r="C293" s="972"/>
      <c r="D293" s="972"/>
      <c r="E293" s="973"/>
      <c r="F293" s="973"/>
      <c r="G293" s="930"/>
      <c r="H293" s="987"/>
      <c r="I293" s="987"/>
      <c r="J293" s="930"/>
      <c r="K293" s="930"/>
      <c r="L293" s="988"/>
      <c r="M293" s="980"/>
      <c r="N293" s="991"/>
      <c r="O293" s="992"/>
      <c r="P293" s="980"/>
      <c r="Q293" s="980"/>
      <c r="R293" s="980"/>
      <c r="S293" s="982"/>
      <c r="T293" s="770" t="s">
        <v>50</v>
      </c>
      <c r="U293" s="770">
        <f>COUNTIF(D279:D298,"공")</f>
        <v>0</v>
      </c>
      <c r="V293" s="771">
        <f>COUNTIF(I279:I298,"공")</f>
        <v>0</v>
      </c>
      <c r="W293" s="770" t="s">
        <v>26</v>
      </c>
      <c r="X293" s="770">
        <f>SUMIF(D279:D298,"공",F279:F298)</f>
        <v>0</v>
      </c>
      <c r="Y293" s="771">
        <f>SUMIF(I279:I298,"공",K279:K298)</f>
        <v>0</v>
      </c>
      <c r="Z293" s="770">
        <f>COUNTIF(AJ279:AJ298,"공국")+COUNTIF(AJ279:AJ298,"공공")</f>
        <v>0</v>
      </c>
      <c r="AA293" s="771">
        <f>COUNTIF(AK279:AK298,"공국")+COUNTIF(AK279:AK298,"공공")</f>
        <v>0</v>
      </c>
      <c r="AB293" s="770" t="s">
        <v>26</v>
      </c>
      <c r="AC293" s="770">
        <f>SUMIF(AJ279:AJ298,"공국",F279:F298)+SUMIF(AJ279:AJ298,"공공",F279:F298)</f>
        <v>0</v>
      </c>
      <c r="AD293" s="771">
        <f>SUMIF(AK279:AK298,"공국",K279:K298)+SUMIF(AK279:AK298,"공공",K279:K298)</f>
        <v>0</v>
      </c>
      <c r="AE293" s="770">
        <f t="shared" si="85"/>
        <v>0</v>
      </c>
      <c r="AF293" s="771">
        <f t="shared" si="86"/>
        <v>0</v>
      </c>
      <c r="AG293" s="770" t="s">
        <v>26</v>
      </c>
      <c r="AH293" s="770">
        <f t="shared" si="87"/>
        <v>0</v>
      </c>
      <c r="AI293" s="771">
        <f t="shared" si="88"/>
        <v>0</v>
      </c>
      <c r="AJ293" s="770" t="str">
        <f t="shared" si="89"/>
        <v/>
      </c>
      <c r="AK293" s="770" t="str">
        <f t="shared" si="90"/>
        <v/>
      </c>
      <c r="AL293" s="772"/>
    </row>
    <row r="294" spans="1:38" s="773" customFormat="1" ht="24" hidden="1" customHeight="1" x14ac:dyDescent="0.15">
      <c r="A294" s="884">
        <v>276</v>
      </c>
      <c r="B294" s="972"/>
      <c r="C294" s="972"/>
      <c r="D294" s="972"/>
      <c r="E294" s="973"/>
      <c r="F294" s="973"/>
      <c r="G294" s="930"/>
      <c r="H294" s="987"/>
      <c r="I294" s="987"/>
      <c r="J294" s="930"/>
      <c r="K294" s="930"/>
      <c r="L294" s="988"/>
      <c r="M294" s="980"/>
      <c r="N294" s="991"/>
      <c r="O294" s="992"/>
      <c r="P294" s="980"/>
      <c r="Q294" s="980"/>
      <c r="R294" s="980"/>
      <c r="S294" s="982"/>
      <c r="T294" s="791" t="s">
        <v>40</v>
      </c>
      <c r="U294" s="770">
        <f>COUNTIF(D279:D298,"장")</f>
        <v>0</v>
      </c>
      <c r="V294" s="771">
        <f>COUNTIF(I279:I298,"장")</f>
        <v>0</v>
      </c>
      <c r="W294" s="770" t="s">
        <v>26</v>
      </c>
      <c r="X294" s="770">
        <f>SUMIF(D279:D298,"장",F279:F298)</f>
        <v>0</v>
      </c>
      <c r="Y294" s="771">
        <f>SUMIF(I279:I298,"장",K279:K298)</f>
        <v>0</v>
      </c>
      <c r="Z294" s="770">
        <f>COUNTIF(AJ279:AJ298,"장국")+COUNTIF(AJ279:AJ298,"장공")</f>
        <v>0</v>
      </c>
      <c r="AA294" s="771">
        <f>COUNTIF(AK279:AK298,"장국")+COUNTIF(AK279:AK298,"장공")</f>
        <v>0</v>
      </c>
      <c r="AB294" s="770" t="s">
        <v>26</v>
      </c>
      <c r="AC294" s="770">
        <f>SUMIF(AJ279:AJ298,"장국",F279:F298)+SUMIF(AJ279:AJ298,"장공",F279:F298)</f>
        <v>0</v>
      </c>
      <c r="AD294" s="771">
        <f>SUMIF(AK279:AK298,"장국",K279:K298)+SUMIF(AK279:AK298,"장공",K279:K298)</f>
        <v>0</v>
      </c>
      <c r="AE294" s="770">
        <f t="shared" si="85"/>
        <v>0</v>
      </c>
      <c r="AF294" s="771">
        <f t="shared" si="86"/>
        <v>0</v>
      </c>
      <c r="AG294" s="770" t="s">
        <v>26</v>
      </c>
      <c r="AH294" s="770">
        <f t="shared" si="87"/>
        <v>0</v>
      </c>
      <c r="AI294" s="771">
        <f t="shared" si="88"/>
        <v>0</v>
      </c>
      <c r="AJ294" s="770" t="str">
        <f t="shared" si="89"/>
        <v/>
      </c>
      <c r="AK294" s="770" t="str">
        <f t="shared" si="90"/>
        <v/>
      </c>
      <c r="AL294" s="772"/>
    </row>
    <row r="295" spans="1:38" s="773" customFormat="1" ht="24" hidden="1" customHeight="1" x14ac:dyDescent="0.15">
      <c r="A295" s="884">
        <v>277</v>
      </c>
      <c r="B295" s="972"/>
      <c r="C295" s="972"/>
      <c r="D295" s="972"/>
      <c r="E295" s="973"/>
      <c r="F295" s="973"/>
      <c r="G295" s="930"/>
      <c r="H295" s="987"/>
      <c r="I295" s="987"/>
      <c r="J295" s="930"/>
      <c r="K295" s="930"/>
      <c r="L295" s="988"/>
      <c r="M295" s="980"/>
      <c r="N295" s="991"/>
      <c r="O295" s="992"/>
      <c r="P295" s="980"/>
      <c r="Q295" s="980"/>
      <c r="R295" s="980"/>
      <c r="S295" s="982"/>
      <c r="T295" s="791" t="s">
        <v>79</v>
      </c>
      <c r="U295" s="770">
        <f>COUNTIF(D279:D298,"목")</f>
        <v>0</v>
      </c>
      <c r="V295" s="771">
        <f>COUNTIF(I279:I298,"목")</f>
        <v>0</v>
      </c>
      <c r="W295" s="770" t="s">
        <v>26</v>
      </c>
      <c r="X295" s="770">
        <f>SUMIF(D279:D298,"목",F279:F298)</f>
        <v>0</v>
      </c>
      <c r="Y295" s="771">
        <f>SUMIF(I279:I298,"목",K279:K298)</f>
        <v>0</v>
      </c>
      <c r="Z295" s="770">
        <f>COUNTIF(AJ279:AJ298,"목국")+COUNTIF(AJ279:AJ298,"목공")</f>
        <v>0</v>
      </c>
      <c r="AA295" s="771">
        <f>COUNTIF(AK279:AK298,"목국")+COUNTIF(AK279:AK298,"목공")</f>
        <v>0</v>
      </c>
      <c r="AB295" s="770" t="s">
        <v>26</v>
      </c>
      <c r="AC295" s="770">
        <f>SUMIF(AJ279:AJ298,"목국",F279:F298)+SUMIF(AJ279:AJ298,"목공",F279:F298)</f>
        <v>0</v>
      </c>
      <c r="AD295" s="771">
        <f>SUMIF(AK279:AK298,"목국",K279:K298)+SUMIF(AK279:AK298,"목공",K279:K298)</f>
        <v>0</v>
      </c>
      <c r="AE295" s="770">
        <f t="shared" si="85"/>
        <v>0</v>
      </c>
      <c r="AF295" s="771">
        <f t="shared" si="86"/>
        <v>0</v>
      </c>
      <c r="AG295" s="770" t="s">
        <v>26</v>
      </c>
      <c r="AH295" s="770">
        <f t="shared" si="87"/>
        <v>0</v>
      </c>
      <c r="AI295" s="771">
        <f t="shared" si="88"/>
        <v>0</v>
      </c>
      <c r="AJ295" s="770" t="str">
        <f t="shared" si="89"/>
        <v/>
      </c>
      <c r="AK295" s="770" t="str">
        <f t="shared" si="90"/>
        <v/>
      </c>
      <c r="AL295" s="772"/>
    </row>
    <row r="296" spans="1:38" s="773" customFormat="1" ht="24" hidden="1" customHeight="1" x14ac:dyDescent="0.15">
      <c r="A296" s="884">
        <v>278</v>
      </c>
      <c r="B296" s="972"/>
      <c r="C296" s="972"/>
      <c r="D296" s="972"/>
      <c r="E296" s="973"/>
      <c r="F296" s="973"/>
      <c r="G296" s="930"/>
      <c r="H296" s="987"/>
      <c r="I296" s="987"/>
      <c r="J296" s="930"/>
      <c r="K296" s="930"/>
      <c r="L296" s="988"/>
      <c r="M296" s="980"/>
      <c r="N296" s="991"/>
      <c r="O296" s="992"/>
      <c r="P296" s="980"/>
      <c r="Q296" s="980"/>
      <c r="R296" s="980"/>
      <c r="S296" s="982"/>
      <c r="T296" s="791"/>
      <c r="U296" s="791"/>
      <c r="V296" s="792"/>
      <c r="W296" s="791"/>
      <c r="X296" s="791"/>
      <c r="Y296" s="792"/>
      <c r="Z296" s="770"/>
      <c r="AA296" s="771"/>
      <c r="AB296" s="791"/>
      <c r="AC296" s="770"/>
      <c r="AD296" s="771"/>
      <c r="AE296" s="791"/>
      <c r="AF296" s="792"/>
      <c r="AG296" s="791"/>
      <c r="AH296" s="791"/>
      <c r="AI296" s="792"/>
      <c r="AJ296" s="770" t="str">
        <f t="shared" si="89"/>
        <v/>
      </c>
      <c r="AK296" s="770" t="str">
        <f t="shared" si="90"/>
        <v/>
      </c>
      <c r="AL296" s="772"/>
    </row>
    <row r="297" spans="1:38" s="773" customFormat="1" ht="24" hidden="1" customHeight="1" x14ac:dyDescent="0.15">
      <c r="A297" s="884">
        <v>279</v>
      </c>
      <c r="B297" s="972"/>
      <c r="C297" s="972"/>
      <c r="D297" s="972"/>
      <c r="E297" s="973"/>
      <c r="F297" s="973"/>
      <c r="G297" s="930"/>
      <c r="H297" s="987"/>
      <c r="I297" s="987"/>
      <c r="J297" s="930"/>
      <c r="K297" s="930"/>
      <c r="L297" s="988"/>
      <c r="M297" s="980"/>
      <c r="N297" s="991"/>
      <c r="O297" s="992"/>
      <c r="P297" s="980"/>
      <c r="Q297" s="980"/>
      <c r="R297" s="980"/>
      <c r="S297" s="982"/>
      <c r="T297" s="791"/>
      <c r="U297" s="791"/>
      <c r="V297" s="792"/>
      <c r="W297" s="791"/>
      <c r="X297" s="791"/>
      <c r="Y297" s="792"/>
      <c r="Z297" s="770"/>
      <c r="AA297" s="771"/>
      <c r="AB297" s="791"/>
      <c r="AC297" s="770"/>
      <c r="AD297" s="771"/>
      <c r="AE297" s="791"/>
      <c r="AF297" s="792"/>
      <c r="AG297" s="791"/>
      <c r="AH297" s="791"/>
      <c r="AI297" s="792"/>
      <c r="AJ297" s="770" t="str">
        <f t="shared" si="89"/>
        <v/>
      </c>
      <c r="AK297" s="770" t="str">
        <f t="shared" si="90"/>
        <v/>
      </c>
      <c r="AL297" s="772"/>
    </row>
    <row r="298" spans="1:38" s="773" customFormat="1" ht="24" hidden="1" customHeight="1" x14ac:dyDescent="0.15">
      <c r="A298" s="884">
        <v>280</v>
      </c>
      <c r="B298" s="972"/>
      <c r="C298" s="972"/>
      <c r="D298" s="972"/>
      <c r="E298" s="973"/>
      <c r="F298" s="973"/>
      <c r="G298" s="930"/>
      <c r="H298" s="987"/>
      <c r="I298" s="987"/>
      <c r="J298" s="930"/>
      <c r="K298" s="930"/>
      <c r="L298" s="988"/>
      <c r="M298" s="980"/>
      <c r="N298" s="991"/>
      <c r="O298" s="992"/>
      <c r="P298" s="980"/>
      <c r="Q298" s="980"/>
      <c r="R298" s="980"/>
      <c r="S298" s="982"/>
      <c r="T298" s="794" t="s">
        <v>37</v>
      </c>
      <c r="U298" s="794">
        <f>COUNTIF(D279:D298,"철")</f>
        <v>0</v>
      </c>
      <c r="V298" s="795">
        <f>COUNTIF(I279:I298,"철")</f>
        <v>0</v>
      </c>
      <c r="W298" s="794" t="s">
        <v>26</v>
      </c>
      <c r="X298" s="794">
        <f>SUMIF(D279:D298,"철",F279:F298)</f>
        <v>0</v>
      </c>
      <c r="Y298" s="795">
        <f>SUMIF(I279:I298,"철",K279:K298)</f>
        <v>0</v>
      </c>
      <c r="Z298" s="770">
        <f>COUNTIF(AJ279:AJ298,"철국")+COUNTIF(AJ279:AJ298,"철공")</f>
        <v>0</v>
      </c>
      <c r="AA298" s="771">
        <f>COUNTIF(AK279:AK298,"철국")+COUNTIF(AK279:AK298,"철공")</f>
        <v>0</v>
      </c>
      <c r="AB298" s="794" t="s">
        <v>26</v>
      </c>
      <c r="AC298" s="770">
        <f>SUMIF(AJ279:AJ298,"철국",F279:F298)+SUMIF(AJ279:AJ298,"철공",F279:F298)</f>
        <v>0</v>
      </c>
      <c r="AD298" s="771">
        <f>SUMIF(AK279:AK298,"철국",K279:K298)+SUMIF(AK279:AK298,"철공",K279:K298)</f>
        <v>0</v>
      </c>
      <c r="AE298" s="794"/>
      <c r="AF298" s="795"/>
      <c r="AG298" s="794"/>
      <c r="AH298" s="794"/>
      <c r="AI298" s="795"/>
      <c r="AJ298" s="770" t="str">
        <f t="shared" si="89"/>
        <v/>
      </c>
      <c r="AK298" s="770" t="str">
        <f t="shared" si="90"/>
        <v/>
      </c>
      <c r="AL298" s="772"/>
    </row>
    <row r="299" spans="1:38" s="773" customFormat="1" ht="24" hidden="1" customHeight="1" thickBot="1" x14ac:dyDescent="0.2">
      <c r="A299" s="1082" t="s">
        <v>48</v>
      </c>
      <c r="B299" s="1083"/>
      <c r="C299" s="1083"/>
      <c r="D299" s="1083"/>
      <c r="E299" s="1084"/>
      <c r="F299" s="798">
        <f>SUM(F279:F298)</f>
        <v>0</v>
      </c>
      <c r="G299" s="993"/>
      <c r="H299" s="994"/>
      <c r="I299" s="994"/>
      <c r="J299" s="993"/>
      <c r="K299" s="971">
        <f>SUM(K279:K298)</f>
        <v>0</v>
      </c>
      <c r="L299" s="995"/>
      <c r="M299" s="996"/>
      <c r="N299" s="997"/>
      <c r="O299" s="998"/>
      <c r="P299" s="996"/>
      <c r="Q299" s="996"/>
      <c r="R299" s="996"/>
      <c r="S299" s="999"/>
      <c r="T299" s="806" t="s">
        <v>24</v>
      </c>
      <c r="U299" s="807">
        <f t="shared" ref="U299:AA299" si="91">SUM(U279:U298)</f>
        <v>0</v>
      </c>
      <c r="V299" s="807">
        <f t="shared" si="91"/>
        <v>0</v>
      </c>
      <c r="W299" s="807">
        <f t="shared" si="91"/>
        <v>0</v>
      </c>
      <c r="X299" s="807">
        <f t="shared" si="91"/>
        <v>0</v>
      </c>
      <c r="Y299" s="807">
        <f t="shared" si="91"/>
        <v>0</v>
      </c>
      <c r="Z299" s="822">
        <f t="shared" si="91"/>
        <v>0</v>
      </c>
      <c r="AA299" s="823">
        <f t="shared" si="91"/>
        <v>0</v>
      </c>
      <c r="AB299" s="822" t="s">
        <v>26</v>
      </c>
      <c r="AC299" s="822">
        <f>SUM(AC279:AC298)</f>
        <v>0</v>
      </c>
      <c r="AD299" s="823">
        <f>SUM(AD279:AD298)</f>
        <v>0</v>
      </c>
      <c r="AE299" s="807">
        <f>SUM(AE279:AE298)</f>
        <v>0</v>
      </c>
      <c r="AF299" s="807">
        <f>SUM(AF279:AF298)</f>
        <v>0</v>
      </c>
      <c r="AG299" s="807" t="s">
        <v>26</v>
      </c>
      <c r="AH299" s="807">
        <f>SUM(AH279:AH298)</f>
        <v>0</v>
      </c>
      <c r="AI299" s="807">
        <f>SUM(AI279:AI298)</f>
        <v>0</v>
      </c>
      <c r="AJ299" s="807"/>
      <c r="AK299" s="755"/>
      <c r="AL299" s="772"/>
    </row>
    <row r="300" spans="1:38" s="773" customFormat="1" ht="24" hidden="1" customHeight="1" x14ac:dyDescent="0.15">
      <c r="A300" s="877">
        <v>281</v>
      </c>
      <c r="B300" s="983"/>
      <c r="C300" s="983"/>
      <c r="D300" s="983"/>
      <c r="E300" s="984"/>
      <c r="F300" s="984"/>
      <c r="G300" s="939"/>
      <c r="H300" s="1000"/>
      <c r="I300" s="1000"/>
      <c r="J300" s="939"/>
      <c r="K300" s="939"/>
      <c r="L300" s="1001"/>
      <c r="M300" s="985"/>
      <c r="N300" s="1002"/>
      <c r="O300" s="1003"/>
      <c r="P300" s="985"/>
      <c r="Q300" s="985"/>
      <c r="R300" s="985"/>
      <c r="S300" s="986"/>
      <c r="T300" s="770" t="s">
        <v>27</v>
      </c>
      <c r="U300" s="770">
        <f>COUNTIF(D300:D319,"전")</f>
        <v>0</v>
      </c>
      <c r="V300" s="771">
        <f>COUNTIF(I300:I319,"전")</f>
        <v>0</v>
      </c>
      <c r="W300" s="770" t="s">
        <v>26</v>
      </c>
      <c r="X300" s="770">
        <f>SUMIF(D300:D319,"전",F300:F319)</f>
        <v>0</v>
      </c>
      <c r="Y300" s="771">
        <f>SUMIF(I300:I319,"전",K300:K319)</f>
        <v>0</v>
      </c>
      <c r="Z300" s="770">
        <f>COUNTIF(AJ300:AJ319,"전국")+COUNTIF(AJ300:AJ319,"전공")</f>
        <v>0</v>
      </c>
      <c r="AA300" s="771">
        <f>COUNTIF(AK300:AK319,"전국")+COUNTIF(AK300:AK319,"전공")</f>
        <v>0</v>
      </c>
      <c r="AB300" s="770" t="s">
        <v>26</v>
      </c>
      <c r="AC300" s="770">
        <f>SUMIF(AJ300:AJ319,"전국",F300:F319)+SUMIF(AJ300:AJ319,"전공",F300:F319)</f>
        <v>0</v>
      </c>
      <c r="AD300" s="771">
        <f>SUMIF(AK300:AK319,"전국",K300:K319)+SUMIF(AK300:AK319,"전공",K300:K319)</f>
        <v>0</v>
      </c>
      <c r="AE300" s="770">
        <f t="shared" ref="AE300:AE316" si="92">U300-Z300</f>
        <v>0</v>
      </c>
      <c r="AF300" s="771">
        <f t="shared" ref="AF300:AF316" si="93">V300-AA300</f>
        <v>0</v>
      </c>
      <c r="AG300" s="770" t="s">
        <v>26</v>
      </c>
      <c r="AH300" s="770">
        <f t="shared" ref="AH300:AH316" si="94">X300-AC300</f>
        <v>0</v>
      </c>
      <c r="AI300" s="771">
        <f t="shared" ref="AI300:AI316" si="95">Y300-AD300</f>
        <v>0</v>
      </c>
      <c r="AJ300" s="770" t="str">
        <f t="shared" ref="AJ300:AJ319" si="96">CONCATENATE(D300,L300)</f>
        <v/>
      </c>
      <c r="AK300" s="770" t="str">
        <f t="shared" ref="AK300:AK319" si="97">CONCATENATE(I300,L300)</f>
        <v/>
      </c>
    </row>
    <row r="301" spans="1:38" s="773" customFormat="1" ht="24" hidden="1" customHeight="1" x14ac:dyDescent="0.15">
      <c r="A301" s="884">
        <v>282</v>
      </c>
      <c r="B301" s="972"/>
      <c r="C301" s="972"/>
      <c r="D301" s="972"/>
      <c r="E301" s="973"/>
      <c r="F301" s="973"/>
      <c r="G301" s="930"/>
      <c r="H301" s="987"/>
      <c r="I301" s="987"/>
      <c r="J301" s="930"/>
      <c r="K301" s="930"/>
      <c r="L301" s="988"/>
      <c r="M301" s="980"/>
      <c r="N301" s="991"/>
      <c r="O301" s="992"/>
      <c r="P301" s="980"/>
      <c r="Q301" s="980"/>
      <c r="R301" s="980"/>
      <c r="S301" s="982"/>
      <c r="T301" s="770" t="s">
        <v>28</v>
      </c>
      <c r="U301" s="770">
        <f>COUNTIF(D300:D319,"답")</f>
        <v>0</v>
      </c>
      <c r="V301" s="771">
        <f>COUNTIF(I300:I319,"답")</f>
        <v>0</v>
      </c>
      <c r="W301" s="770" t="s">
        <v>26</v>
      </c>
      <c r="X301" s="770">
        <f>SUMIF(D300:D319,"답",F300:F319)</f>
        <v>0</v>
      </c>
      <c r="Y301" s="771">
        <f>SUMIF(I300:I319,"답",K300:K319)</f>
        <v>0</v>
      </c>
      <c r="Z301" s="770">
        <f>COUNTIF(AJ300:AJ319,"답국")+COUNTIF(AJ300:AJ319,"답공")</f>
        <v>0</v>
      </c>
      <c r="AA301" s="771">
        <f>COUNTIF(AK300:AK319,"답국")+COUNTIF(AK300:AK319,"답공")</f>
        <v>0</v>
      </c>
      <c r="AB301" s="770" t="s">
        <v>26</v>
      </c>
      <c r="AC301" s="770">
        <f>SUMIF(AJ300:AJ319,"답국",F300:F319)+SUMIF(AJ300:AJ319,"답공",F300:F319)</f>
        <v>0</v>
      </c>
      <c r="AD301" s="771">
        <f>SUMIF(AK300:AK319,"답국",K300:K319)+SUMIF(AK300:AK319,"답공",K300:K319)</f>
        <v>0</v>
      </c>
      <c r="AE301" s="770">
        <f t="shared" si="92"/>
        <v>0</v>
      </c>
      <c r="AF301" s="771">
        <f t="shared" si="93"/>
        <v>0</v>
      </c>
      <c r="AG301" s="770" t="s">
        <v>26</v>
      </c>
      <c r="AH301" s="770">
        <f t="shared" si="94"/>
        <v>0</v>
      </c>
      <c r="AI301" s="771">
        <f t="shared" si="95"/>
        <v>0</v>
      </c>
      <c r="AJ301" s="770" t="str">
        <f t="shared" si="96"/>
        <v/>
      </c>
      <c r="AK301" s="770" t="str">
        <f t="shared" si="97"/>
        <v/>
      </c>
    </row>
    <row r="302" spans="1:38" s="773" customFormat="1" ht="24" hidden="1" customHeight="1" x14ac:dyDescent="0.15">
      <c r="A302" s="884">
        <v>283</v>
      </c>
      <c r="B302" s="972"/>
      <c r="C302" s="972"/>
      <c r="D302" s="972"/>
      <c r="E302" s="973"/>
      <c r="F302" s="973"/>
      <c r="G302" s="930"/>
      <c r="H302" s="987"/>
      <c r="I302" s="987"/>
      <c r="J302" s="930"/>
      <c r="K302" s="930"/>
      <c r="L302" s="988"/>
      <c r="M302" s="980"/>
      <c r="N302" s="991"/>
      <c r="O302" s="992"/>
      <c r="P302" s="980"/>
      <c r="Q302" s="980"/>
      <c r="R302" s="980"/>
      <c r="S302" s="982"/>
      <c r="T302" s="770" t="s">
        <v>44</v>
      </c>
      <c r="U302" s="770">
        <f>COUNTIF(D300:D319,"임")</f>
        <v>0</v>
      </c>
      <c r="V302" s="771">
        <f>COUNTIF(I300:I319,"임")</f>
        <v>0</v>
      </c>
      <c r="W302" s="770" t="s">
        <v>26</v>
      </c>
      <c r="X302" s="770">
        <f>SUMIF(D300:D319,"임",F300:F319)</f>
        <v>0</v>
      </c>
      <c r="Y302" s="771">
        <f>SUMIF(I300:I319,"임",K300:K319)</f>
        <v>0</v>
      </c>
      <c r="Z302" s="770">
        <f>COUNTIF(AJ300:AJ319,"임국")+COUNTIF(AJ300:AJ319,"임공")</f>
        <v>0</v>
      </c>
      <c r="AA302" s="771">
        <f>COUNTIF(AK300:AK319,"임국")+COUNTIF(AK300:AK319,"임공")</f>
        <v>0</v>
      </c>
      <c r="AB302" s="770" t="s">
        <v>26</v>
      </c>
      <c r="AC302" s="770">
        <f>SUMIF(AJ300:AJ319,"임국",F300:F319)+SUMIF(AJ300:AJ319,"임공",F300:F319)</f>
        <v>0</v>
      </c>
      <c r="AD302" s="771">
        <f>SUMIF(AK300:AK319,"임국",K300:K319)+SUMIF(AK300:AK319,"임공",K300:K319)</f>
        <v>0</v>
      </c>
      <c r="AE302" s="770">
        <f t="shared" si="92"/>
        <v>0</v>
      </c>
      <c r="AF302" s="771">
        <f t="shared" si="93"/>
        <v>0</v>
      </c>
      <c r="AG302" s="770" t="s">
        <v>26</v>
      </c>
      <c r="AH302" s="770">
        <f t="shared" si="94"/>
        <v>0</v>
      </c>
      <c r="AI302" s="771">
        <f t="shared" si="95"/>
        <v>0</v>
      </c>
      <c r="AJ302" s="770" t="str">
        <f t="shared" si="96"/>
        <v/>
      </c>
      <c r="AK302" s="770" t="str">
        <f t="shared" si="97"/>
        <v/>
      </c>
    </row>
    <row r="303" spans="1:38" s="773" customFormat="1" ht="24" hidden="1" customHeight="1" x14ac:dyDescent="0.15">
      <c r="A303" s="884">
        <v>284</v>
      </c>
      <c r="B303" s="972"/>
      <c r="C303" s="972"/>
      <c r="D303" s="972"/>
      <c r="E303" s="973"/>
      <c r="F303" s="973"/>
      <c r="G303" s="930"/>
      <c r="H303" s="987"/>
      <c r="I303" s="987"/>
      <c r="J303" s="930"/>
      <c r="K303" s="930"/>
      <c r="L303" s="988"/>
      <c r="M303" s="980"/>
      <c r="N303" s="991"/>
      <c r="O303" s="992"/>
      <c r="P303" s="980"/>
      <c r="Q303" s="980"/>
      <c r="R303" s="980"/>
      <c r="S303" s="982"/>
      <c r="T303" s="770" t="s">
        <v>45</v>
      </c>
      <c r="U303" s="770">
        <f>COUNTIF(D300:D319,"대")</f>
        <v>0</v>
      </c>
      <c r="V303" s="771">
        <f>COUNTIF(I300:I319,"대")</f>
        <v>0</v>
      </c>
      <c r="W303" s="770" t="s">
        <v>26</v>
      </c>
      <c r="X303" s="770">
        <f>SUMIF(D300:D319,"대",F300:F319)</f>
        <v>0</v>
      </c>
      <c r="Y303" s="771">
        <f>SUMIF(I300:I319,"대",K300:K319)</f>
        <v>0</v>
      </c>
      <c r="Z303" s="770">
        <f>COUNTIF(AJ300:AJ319,"대국")+COUNTIF(AJ300:AJ319,"대공")</f>
        <v>0</v>
      </c>
      <c r="AA303" s="771">
        <f>COUNTIF(AK300:AK319,"대국")+COUNTIF(AK300:AK319,"대공")</f>
        <v>0</v>
      </c>
      <c r="AB303" s="770" t="s">
        <v>26</v>
      </c>
      <c r="AC303" s="770">
        <f>SUMIF(AJ300:AJ319,"대국",F300:F319)+SUMIF(AJ300:AJ319,"대공",F300:F319)</f>
        <v>0</v>
      </c>
      <c r="AD303" s="771">
        <f>SUMIF(AK300:AK319,"대국",K300:K319)+SUMIF(AK300:AK319,"대공",K300:K319)</f>
        <v>0</v>
      </c>
      <c r="AE303" s="770">
        <f t="shared" si="92"/>
        <v>0</v>
      </c>
      <c r="AF303" s="771">
        <f t="shared" si="93"/>
        <v>0</v>
      </c>
      <c r="AG303" s="770" t="s">
        <v>26</v>
      </c>
      <c r="AH303" s="770">
        <f t="shared" si="94"/>
        <v>0</v>
      </c>
      <c r="AI303" s="771">
        <f t="shared" si="95"/>
        <v>0</v>
      </c>
      <c r="AJ303" s="770" t="str">
        <f t="shared" si="96"/>
        <v/>
      </c>
      <c r="AK303" s="770" t="str">
        <f t="shared" si="97"/>
        <v/>
      </c>
    </row>
    <row r="304" spans="1:38" s="773" customFormat="1" ht="24" hidden="1" customHeight="1" x14ac:dyDescent="0.15">
      <c r="A304" s="884">
        <v>285</v>
      </c>
      <c r="B304" s="972"/>
      <c r="C304" s="972"/>
      <c r="D304" s="972"/>
      <c r="E304" s="973"/>
      <c r="F304" s="973"/>
      <c r="G304" s="930"/>
      <c r="H304" s="987"/>
      <c r="I304" s="987"/>
      <c r="J304" s="930"/>
      <c r="K304" s="930"/>
      <c r="L304" s="988"/>
      <c r="M304" s="980"/>
      <c r="N304" s="991"/>
      <c r="O304" s="992"/>
      <c r="P304" s="980"/>
      <c r="Q304" s="980"/>
      <c r="R304" s="980"/>
      <c r="S304" s="982"/>
      <c r="T304" s="770" t="s">
        <v>31</v>
      </c>
      <c r="U304" s="770">
        <f>COUNTIF(D300:D319,"도")</f>
        <v>0</v>
      </c>
      <c r="V304" s="771">
        <f>COUNTIF(I300:I319,"도")</f>
        <v>0</v>
      </c>
      <c r="W304" s="770" t="s">
        <v>26</v>
      </c>
      <c r="X304" s="770">
        <f>SUMIF(D300:D319,"도",F300:F319)</f>
        <v>0</v>
      </c>
      <c r="Y304" s="771">
        <f>SUMIF(I300:I319,"도",K300:K319)</f>
        <v>0</v>
      </c>
      <c r="Z304" s="770">
        <f>COUNTIF(AJ300:AJ319,"도국")+COUNTIF(AJ300:AJ319,"도공")</f>
        <v>0</v>
      </c>
      <c r="AA304" s="771">
        <f>COUNTIF(AK300:AK319,"도국")+COUNTIF(AK300:AK319,"도공")</f>
        <v>0</v>
      </c>
      <c r="AB304" s="770" t="s">
        <v>26</v>
      </c>
      <c r="AC304" s="770">
        <f>SUMIF(AJ300:AJ319,"도국",F300:F319)+SUMIF(AJ300:AJ319,"도공",F300:F319)</f>
        <v>0</v>
      </c>
      <c r="AD304" s="771">
        <f>SUMIF(AK300:AK319,"도국",K300:K319)+SUMIF(AK300:AK319,"도공",K300:K319)</f>
        <v>0</v>
      </c>
      <c r="AE304" s="770">
        <f t="shared" si="92"/>
        <v>0</v>
      </c>
      <c r="AF304" s="771">
        <f t="shared" si="93"/>
        <v>0</v>
      </c>
      <c r="AG304" s="770" t="s">
        <v>26</v>
      </c>
      <c r="AH304" s="770">
        <f t="shared" si="94"/>
        <v>0</v>
      </c>
      <c r="AI304" s="771">
        <f t="shared" si="95"/>
        <v>0</v>
      </c>
      <c r="AJ304" s="770" t="str">
        <f t="shared" si="96"/>
        <v/>
      </c>
      <c r="AK304" s="770" t="str">
        <f t="shared" si="97"/>
        <v/>
      </c>
    </row>
    <row r="305" spans="1:38" s="773" customFormat="1" ht="24" hidden="1" customHeight="1" x14ac:dyDescent="0.15">
      <c r="A305" s="884">
        <v>286</v>
      </c>
      <c r="B305" s="972"/>
      <c r="C305" s="972"/>
      <c r="D305" s="972"/>
      <c r="E305" s="973"/>
      <c r="F305" s="973"/>
      <c r="G305" s="930"/>
      <c r="H305" s="987"/>
      <c r="I305" s="987"/>
      <c r="J305" s="930"/>
      <c r="K305" s="930"/>
      <c r="L305" s="988"/>
      <c r="M305" s="1004"/>
      <c r="N305" s="991"/>
      <c r="O305" s="1005"/>
      <c r="P305" s="980"/>
      <c r="Q305" s="980"/>
      <c r="R305" s="980"/>
      <c r="S305" s="982"/>
      <c r="T305" s="770" t="s">
        <v>32</v>
      </c>
      <c r="U305" s="786">
        <f>COUNTIF(D300:D319,"천")</f>
        <v>0</v>
      </c>
      <c r="V305" s="787">
        <f>COUNTIF(I300:I319,"천")</f>
        <v>0</v>
      </c>
      <c r="W305" s="770" t="s">
        <v>26</v>
      </c>
      <c r="X305" s="770">
        <f>SUMIF(D300:D319,"천",F300:F319)</f>
        <v>0</v>
      </c>
      <c r="Y305" s="771">
        <f>SUMIF(I300:I319,"천",K300:K319)</f>
        <v>0</v>
      </c>
      <c r="Z305" s="770">
        <f>COUNTIF(AJ300:AJ319,"천국")+COUNTIF(AJ300:AJ319,"천공")</f>
        <v>0</v>
      </c>
      <c r="AA305" s="771">
        <f>COUNTIF(AK300:AK319,"천국")+COUNTIF(AK300:AK319,"천공")</f>
        <v>0</v>
      </c>
      <c r="AB305" s="770" t="s">
        <v>26</v>
      </c>
      <c r="AC305" s="770">
        <f>SUMIF(AJ300:AJ319,"천국",F300:F319)+SUMIF(AJ300:AJ319,"천공",F300:F319)</f>
        <v>0</v>
      </c>
      <c r="AD305" s="771">
        <f>SUMIF(AK300:AK319,"천국",K300:K319)+SUMIF(AK300:AK319,"천공",K300:K319)</f>
        <v>0</v>
      </c>
      <c r="AE305" s="770">
        <f t="shared" si="92"/>
        <v>0</v>
      </c>
      <c r="AF305" s="771">
        <f t="shared" si="93"/>
        <v>0</v>
      </c>
      <c r="AG305" s="770" t="s">
        <v>26</v>
      </c>
      <c r="AH305" s="770">
        <f t="shared" si="94"/>
        <v>0</v>
      </c>
      <c r="AI305" s="771">
        <f t="shared" si="95"/>
        <v>0</v>
      </c>
      <c r="AJ305" s="770" t="str">
        <f t="shared" si="96"/>
        <v/>
      </c>
      <c r="AK305" s="770" t="str">
        <f t="shared" si="97"/>
        <v/>
      </c>
    </row>
    <row r="306" spans="1:38" s="773" customFormat="1" ht="24" hidden="1" customHeight="1" x14ac:dyDescent="0.15">
      <c r="A306" s="884">
        <v>287</v>
      </c>
      <c r="B306" s="972"/>
      <c r="C306" s="972"/>
      <c r="D306" s="972"/>
      <c r="E306" s="973"/>
      <c r="F306" s="973"/>
      <c r="G306" s="930"/>
      <c r="H306" s="987"/>
      <c r="I306" s="987"/>
      <c r="J306" s="930"/>
      <c r="K306" s="930"/>
      <c r="L306" s="988"/>
      <c r="M306" s="980"/>
      <c r="N306" s="991"/>
      <c r="O306" s="1005"/>
      <c r="P306" s="980"/>
      <c r="Q306" s="980"/>
      <c r="R306" s="980"/>
      <c r="S306" s="982"/>
      <c r="T306" s="770" t="s">
        <v>33</v>
      </c>
      <c r="U306" s="770">
        <f>COUNTIF(D300:D319,"구")</f>
        <v>0</v>
      </c>
      <c r="V306" s="771">
        <f>COUNTIF(I300:I319,"구")</f>
        <v>0</v>
      </c>
      <c r="W306" s="770" t="s">
        <v>26</v>
      </c>
      <c r="X306" s="770">
        <f>SUMIF(D300:D319,"구",F300:F319)</f>
        <v>0</v>
      </c>
      <c r="Y306" s="771">
        <f>SUMIF(I300:I319,"구",K300:K319)</f>
        <v>0</v>
      </c>
      <c r="Z306" s="770">
        <f>COUNTIF(AJ300:AJ319,"구국")+COUNTIF(AJ300:AJ319,"구공")</f>
        <v>0</v>
      </c>
      <c r="AA306" s="771">
        <f>COUNTIF(AK300:AK319,"구국")+COUNTIF(AK300:AK319,"구공")</f>
        <v>0</v>
      </c>
      <c r="AB306" s="770" t="s">
        <v>26</v>
      </c>
      <c r="AC306" s="770">
        <f>SUMIF(AJ300:AJ319,"구국",F300:F319)+SUMIF(AJ300:AJ319,"구공",F300:F319)</f>
        <v>0</v>
      </c>
      <c r="AD306" s="771">
        <f>SUMIF(AK300:AK319,"구국",K300:K319)+SUMIF(AK300:AK319,"구공",K300:K319)</f>
        <v>0</v>
      </c>
      <c r="AE306" s="770">
        <f t="shared" si="92"/>
        <v>0</v>
      </c>
      <c r="AF306" s="771">
        <f t="shared" si="93"/>
        <v>0</v>
      </c>
      <c r="AG306" s="770" t="s">
        <v>26</v>
      </c>
      <c r="AH306" s="770">
        <f t="shared" si="94"/>
        <v>0</v>
      </c>
      <c r="AI306" s="771">
        <f t="shared" si="95"/>
        <v>0</v>
      </c>
      <c r="AJ306" s="770" t="str">
        <f t="shared" si="96"/>
        <v/>
      </c>
      <c r="AK306" s="770" t="str">
        <f t="shared" si="97"/>
        <v/>
      </c>
    </row>
    <row r="307" spans="1:38" s="773" customFormat="1" ht="24" hidden="1" customHeight="1" x14ac:dyDescent="0.15">
      <c r="A307" s="884">
        <v>288</v>
      </c>
      <c r="B307" s="972"/>
      <c r="C307" s="972"/>
      <c r="D307" s="972"/>
      <c r="E307" s="973"/>
      <c r="F307" s="973"/>
      <c r="G307" s="930"/>
      <c r="H307" s="987"/>
      <c r="I307" s="987"/>
      <c r="J307" s="930"/>
      <c r="K307" s="930"/>
      <c r="L307" s="988"/>
      <c r="M307" s="980"/>
      <c r="N307" s="991"/>
      <c r="O307" s="1005"/>
      <c r="P307" s="980"/>
      <c r="Q307" s="980"/>
      <c r="R307" s="980"/>
      <c r="S307" s="982"/>
      <c r="T307" s="770" t="s">
        <v>34</v>
      </c>
      <c r="U307" s="770">
        <f>COUNTIF(D300:D319,"제")</f>
        <v>0</v>
      </c>
      <c r="V307" s="771">
        <f>COUNTIF(I300:I319,"제")</f>
        <v>0</v>
      </c>
      <c r="W307" s="770" t="s">
        <v>26</v>
      </c>
      <c r="X307" s="770">
        <f>SUMIF(D300:D319,"제",F300:F319)</f>
        <v>0</v>
      </c>
      <c r="Y307" s="771">
        <f>SUMIF(I300:I319,"제",K300:K319)</f>
        <v>0</v>
      </c>
      <c r="Z307" s="770">
        <f>COUNTIF(AJ300:AJ319,"제국")+COUNTIF(AJ300:AJ319,"제공")</f>
        <v>0</v>
      </c>
      <c r="AA307" s="771">
        <f>COUNTIF(AK300:AK319,"제국")+COUNTIF(AK300:AK319,"제공")</f>
        <v>0</v>
      </c>
      <c r="AB307" s="770" t="s">
        <v>26</v>
      </c>
      <c r="AC307" s="770">
        <f>SUMIF(AJ300:AJ319,"제국",F300:F319)+SUMIF(AJ300:AJ319,"제공",F300:F319)</f>
        <v>0</v>
      </c>
      <c r="AD307" s="771">
        <f>SUMIF(AK300:AK319,"제국",K300:K319)+SUMIF(AK300:AK319,"제공",K300:K319)</f>
        <v>0</v>
      </c>
      <c r="AE307" s="770">
        <f t="shared" si="92"/>
        <v>0</v>
      </c>
      <c r="AF307" s="771">
        <f t="shared" si="93"/>
        <v>0</v>
      </c>
      <c r="AG307" s="770" t="s">
        <v>26</v>
      </c>
      <c r="AH307" s="770">
        <f t="shared" si="94"/>
        <v>0</v>
      </c>
      <c r="AI307" s="771">
        <f t="shared" si="95"/>
        <v>0</v>
      </c>
      <c r="AJ307" s="770" t="str">
        <f t="shared" si="96"/>
        <v/>
      </c>
      <c r="AK307" s="770" t="str">
        <f t="shared" si="97"/>
        <v/>
      </c>
    </row>
    <row r="308" spans="1:38" s="773" customFormat="1" ht="24" hidden="1" customHeight="1" x14ac:dyDescent="0.15">
      <c r="A308" s="884">
        <v>289</v>
      </c>
      <c r="B308" s="972"/>
      <c r="C308" s="972"/>
      <c r="D308" s="972"/>
      <c r="E308" s="973"/>
      <c r="F308" s="973"/>
      <c r="G308" s="930"/>
      <c r="H308" s="987"/>
      <c r="I308" s="987"/>
      <c r="J308" s="930"/>
      <c r="K308" s="930"/>
      <c r="L308" s="988"/>
      <c r="M308" s="980"/>
      <c r="N308" s="991"/>
      <c r="O308" s="992"/>
      <c r="P308" s="980"/>
      <c r="Q308" s="980"/>
      <c r="R308" s="980"/>
      <c r="S308" s="982"/>
      <c r="T308" s="770" t="s">
        <v>46</v>
      </c>
      <c r="U308" s="770">
        <f>COUNTIF(D300:D319,"유")</f>
        <v>0</v>
      </c>
      <c r="V308" s="771">
        <f>COUNTIF(I300:I319,"유")</f>
        <v>0</v>
      </c>
      <c r="W308" s="770" t="s">
        <v>26</v>
      </c>
      <c r="X308" s="770">
        <f>SUMIF(D300:D319,"유",F300:F319)</f>
        <v>0</v>
      </c>
      <c r="Y308" s="771">
        <f>SUMIF(I300:I319,"유",K300:K319)</f>
        <v>0</v>
      </c>
      <c r="Z308" s="770">
        <f>COUNTIF(AJ300:AJ319,"유국")+COUNTIF(AJ300:AJ319,"유공")</f>
        <v>0</v>
      </c>
      <c r="AA308" s="771">
        <f>COUNTIF(AK300:AK319,"유국")+COUNTIF(AK300:AK319,"유공")</f>
        <v>0</v>
      </c>
      <c r="AB308" s="770" t="s">
        <v>26</v>
      </c>
      <c r="AC308" s="770">
        <f>SUMIF(AJ300:AJ319,"유국",F300:F319)+SUMIF(AJ300:AJ319,"유공",F300:F319)</f>
        <v>0</v>
      </c>
      <c r="AD308" s="771">
        <f>SUMIF(AK300:AK319,"유국",K300:K319)+SUMIF(AK300:AK319,"유공",K300:K319)</f>
        <v>0</v>
      </c>
      <c r="AE308" s="770">
        <f t="shared" si="92"/>
        <v>0</v>
      </c>
      <c r="AF308" s="771">
        <f t="shared" si="93"/>
        <v>0</v>
      </c>
      <c r="AG308" s="770" t="s">
        <v>26</v>
      </c>
      <c r="AH308" s="770">
        <f t="shared" si="94"/>
        <v>0</v>
      </c>
      <c r="AI308" s="771">
        <f t="shared" si="95"/>
        <v>0</v>
      </c>
      <c r="AJ308" s="770" t="str">
        <f t="shared" si="96"/>
        <v/>
      </c>
      <c r="AK308" s="770" t="str">
        <f t="shared" si="97"/>
        <v/>
      </c>
    </row>
    <row r="309" spans="1:38" s="773" customFormat="1" ht="24" hidden="1" customHeight="1" x14ac:dyDescent="0.15">
      <c r="A309" s="884">
        <v>290</v>
      </c>
      <c r="B309" s="972"/>
      <c r="C309" s="972"/>
      <c r="D309" s="972"/>
      <c r="E309" s="973"/>
      <c r="F309" s="973"/>
      <c r="G309" s="930"/>
      <c r="H309" s="987"/>
      <c r="I309" s="987"/>
      <c r="J309" s="930"/>
      <c r="K309" s="930"/>
      <c r="L309" s="988"/>
      <c r="M309" s="980"/>
      <c r="N309" s="991"/>
      <c r="O309" s="992"/>
      <c r="P309" s="980"/>
      <c r="Q309" s="980"/>
      <c r="R309" s="980"/>
      <c r="S309" s="982"/>
      <c r="T309" s="770" t="s">
        <v>47</v>
      </c>
      <c r="U309" s="770">
        <f>COUNTIF(D300:D319,"과")</f>
        <v>0</v>
      </c>
      <c r="V309" s="771">
        <f>COUNTIF(I300:I319,"과")</f>
        <v>0</v>
      </c>
      <c r="W309" s="770" t="s">
        <v>26</v>
      </c>
      <c r="X309" s="770">
        <f>SUMIF(D300:D319,"과",F300:F319)</f>
        <v>0</v>
      </c>
      <c r="Y309" s="771">
        <f>SUMIF(I300:I319,"과",K300:K319)</f>
        <v>0</v>
      </c>
      <c r="Z309" s="770">
        <f>COUNTIF(AJ300:AJ319,"과국")+COUNTIF(AJ300:AJ319,"과공")</f>
        <v>0</v>
      </c>
      <c r="AA309" s="771">
        <f>COUNTIF(AK300:AK319,"과국")+COUNTIF(AK300:AK319,"과공")</f>
        <v>0</v>
      </c>
      <c r="AB309" s="770" t="s">
        <v>26</v>
      </c>
      <c r="AC309" s="770">
        <f>SUMIF(AJ300:AJ319,"과국",F300:F319)+SUMIF(AJ300:AJ319,"과공",F300:F319)</f>
        <v>0</v>
      </c>
      <c r="AD309" s="771">
        <f>SUMIF(AK300:AK319,"과국",K300:K319)+SUMIF(AK300:AK319,"과공",K300:K319)</f>
        <v>0</v>
      </c>
      <c r="AE309" s="770">
        <f t="shared" si="92"/>
        <v>0</v>
      </c>
      <c r="AF309" s="771">
        <f t="shared" si="93"/>
        <v>0</v>
      </c>
      <c r="AG309" s="770" t="s">
        <v>26</v>
      </c>
      <c r="AH309" s="770">
        <f t="shared" si="94"/>
        <v>0</v>
      </c>
      <c r="AI309" s="771">
        <f t="shared" si="95"/>
        <v>0</v>
      </c>
      <c r="AJ309" s="770" t="str">
        <f t="shared" si="96"/>
        <v/>
      </c>
      <c r="AK309" s="770" t="str">
        <f t="shared" si="97"/>
        <v/>
      </c>
    </row>
    <row r="310" spans="1:38" s="773" customFormat="1" ht="24" hidden="1" customHeight="1" x14ac:dyDescent="0.15">
      <c r="A310" s="884">
        <v>291</v>
      </c>
      <c r="B310" s="972"/>
      <c r="C310" s="972"/>
      <c r="D310" s="972"/>
      <c r="E310" s="973"/>
      <c r="F310" s="973"/>
      <c r="G310" s="930"/>
      <c r="H310" s="987"/>
      <c r="I310" s="987"/>
      <c r="J310" s="930"/>
      <c r="K310" s="930"/>
      <c r="L310" s="988"/>
      <c r="M310" s="980"/>
      <c r="N310" s="991"/>
      <c r="O310" s="992"/>
      <c r="P310" s="980"/>
      <c r="Q310" s="980"/>
      <c r="R310" s="980"/>
      <c r="S310" s="982"/>
      <c r="T310" s="770" t="s">
        <v>36</v>
      </c>
      <c r="U310" s="770">
        <f>COUNTIF(D300:D319,"묘")</f>
        <v>0</v>
      </c>
      <c r="V310" s="771">
        <f>COUNTIF(I300:I319,"묘")</f>
        <v>0</v>
      </c>
      <c r="W310" s="770" t="s">
        <v>26</v>
      </c>
      <c r="X310" s="770">
        <f>SUMIF(D300:D319,"묘",F300:F319)</f>
        <v>0</v>
      </c>
      <c r="Y310" s="771">
        <f>SUMIF(I300:I319,"묘",K300:K319)</f>
        <v>0</v>
      </c>
      <c r="Z310" s="770">
        <f>COUNTIF(AJ300:AJ319,"묘국")+COUNTIF(AJ300:AJ319,"묘공")</f>
        <v>0</v>
      </c>
      <c r="AA310" s="771">
        <f>COUNTIF(AK300:AK319,"묘국")+COUNTIF(AK300:AK319,"묘공")</f>
        <v>0</v>
      </c>
      <c r="AB310" s="770" t="s">
        <v>26</v>
      </c>
      <c r="AC310" s="770">
        <f>SUMIF(AJ300:AJ319,"묘국",F300:F319)+SUMIF(AJ300:AJ319,"묘공",F300:F319)</f>
        <v>0</v>
      </c>
      <c r="AD310" s="771">
        <f>SUMIF(AK300:AK319,"묘국",K300:K319)+SUMIF(AK300:AK319,"묘공",K300:K319)</f>
        <v>0</v>
      </c>
      <c r="AE310" s="770">
        <f t="shared" si="92"/>
        <v>0</v>
      </c>
      <c r="AF310" s="771">
        <f t="shared" si="93"/>
        <v>0</v>
      </c>
      <c r="AG310" s="770" t="s">
        <v>26</v>
      </c>
      <c r="AH310" s="770">
        <f t="shared" si="94"/>
        <v>0</v>
      </c>
      <c r="AI310" s="771">
        <f t="shared" si="95"/>
        <v>0</v>
      </c>
      <c r="AJ310" s="770" t="str">
        <f t="shared" si="96"/>
        <v/>
      </c>
      <c r="AK310" s="770" t="str">
        <f t="shared" si="97"/>
        <v/>
      </c>
    </row>
    <row r="311" spans="1:38" s="773" customFormat="1" ht="24" hidden="1" customHeight="1" x14ac:dyDescent="0.15">
      <c r="A311" s="884">
        <v>292</v>
      </c>
      <c r="B311" s="972"/>
      <c r="C311" s="972"/>
      <c r="D311" s="972"/>
      <c r="E311" s="973"/>
      <c r="F311" s="973"/>
      <c r="G311" s="930"/>
      <c r="H311" s="987"/>
      <c r="I311" s="987"/>
      <c r="J311" s="930"/>
      <c r="K311" s="930"/>
      <c r="L311" s="988"/>
      <c r="M311" s="980"/>
      <c r="N311" s="991"/>
      <c r="O311" s="992"/>
      <c r="P311" s="980"/>
      <c r="Q311" s="980"/>
      <c r="R311" s="980"/>
      <c r="S311" s="982"/>
      <c r="T311" s="770" t="s">
        <v>39</v>
      </c>
      <c r="U311" s="770">
        <f>COUNTIF(D300:D319,"수")</f>
        <v>0</v>
      </c>
      <c r="V311" s="771">
        <f>COUNTIF(I300:I319,"수")</f>
        <v>0</v>
      </c>
      <c r="W311" s="770" t="s">
        <v>26</v>
      </c>
      <c r="X311" s="770">
        <f>SUMIF(D300:D319,"수",F300:F319)</f>
        <v>0</v>
      </c>
      <c r="Y311" s="771">
        <f>SUMIF(I300:I319,"수",K300:K319)</f>
        <v>0</v>
      </c>
      <c r="Z311" s="770">
        <f>COUNTIF(AJ300:AJ319,"수국")+COUNTIF(AJ300:AJ319,"수공")</f>
        <v>0</v>
      </c>
      <c r="AA311" s="771">
        <f>COUNTIF(AK300:AK319,"수국")+COUNTIF(AK300:AK319,"수공")</f>
        <v>0</v>
      </c>
      <c r="AB311" s="770" t="s">
        <v>26</v>
      </c>
      <c r="AC311" s="770">
        <f>SUMIF(AJ300:AJ319,"수국",F300:F319)+SUMIF(AJ300:AJ319,"수공",F300:F319)</f>
        <v>0</v>
      </c>
      <c r="AD311" s="771">
        <f>SUMIF(AK300:AK319,"수국",K300:K319)+SUMIF(AK300:AK319,"수공",K300:K319)</f>
        <v>0</v>
      </c>
      <c r="AE311" s="770">
        <f t="shared" si="92"/>
        <v>0</v>
      </c>
      <c r="AF311" s="771">
        <f t="shared" si="93"/>
        <v>0</v>
      </c>
      <c r="AG311" s="770" t="s">
        <v>26</v>
      </c>
      <c r="AH311" s="770">
        <f t="shared" si="94"/>
        <v>0</v>
      </c>
      <c r="AI311" s="771">
        <f t="shared" si="95"/>
        <v>0</v>
      </c>
      <c r="AJ311" s="770" t="str">
        <f t="shared" si="96"/>
        <v/>
      </c>
      <c r="AK311" s="770" t="str">
        <f t="shared" si="97"/>
        <v/>
      </c>
    </row>
    <row r="312" spans="1:38" s="773" customFormat="1" ht="24" hidden="1" customHeight="1" x14ac:dyDescent="0.15">
      <c r="A312" s="884">
        <v>293</v>
      </c>
      <c r="B312" s="972"/>
      <c r="C312" s="972"/>
      <c r="D312" s="972"/>
      <c r="E312" s="973"/>
      <c r="F312" s="973"/>
      <c r="G312" s="930"/>
      <c r="H312" s="987"/>
      <c r="I312" s="987"/>
      <c r="J312" s="930"/>
      <c r="K312" s="930"/>
      <c r="L312" s="988"/>
      <c r="M312" s="980"/>
      <c r="N312" s="991"/>
      <c r="O312" s="992"/>
      <c r="P312" s="980"/>
      <c r="Q312" s="980"/>
      <c r="R312" s="980"/>
      <c r="S312" s="982"/>
      <c r="T312" s="770" t="s">
        <v>35</v>
      </c>
      <c r="U312" s="770">
        <f>COUNTIF(D300:D319,"잡")</f>
        <v>0</v>
      </c>
      <c r="V312" s="771">
        <f>COUNTIF(I300:I319,"잡")</f>
        <v>0</v>
      </c>
      <c r="W312" s="770" t="s">
        <v>26</v>
      </c>
      <c r="X312" s="770">
        <f>SUMIF(D300:D319,"잡",F300:F319)</f>
        <v>0</v>
      </c>
      <c r="Y312" s="771">
        <f>SUMIF(I300:I319,"잡",K300:K319)</f>
        <v>0</v>
      </c>
      <c r="Z312" s="770">
        <f>COUNTIF(AJ300:AJ319,"잡국")+COUNTIF(AJ300:AJ319,"잡공")</f>
        <v>0</v>
      </c>
      <c r="AA312" s="771">
        <f>COUNTIF(AK300:AK319,"잡국")+COUNTIF(AK300:AK319,"잡공")</f>
        <v>0</v>
      </c>
      <c r="AB312" s="770" t="s">
        <v>26</v>
      </c>
      <c r="AC312" s="770">
        <f>SUMIF(AJ300:AJ319,"잡국",F300:F319)+SUMIF(AJ300:AJ319,"잡공",F300:F319)</f>
        <v>0</v>
      </c>
      <c r="AD312" s="771">
        <f>SUMIF(AK300:AK319,"잡국",K300:K319)+SUMIF(AK300:AK319,"잡공",K300:K319)</f>
        <v>0</v>
      </c>
      <c r="AE312" s="770">
        <f t="shared" si="92"/>
        <v>0</v>
      </c>
      <c r="AF312" s="771">
        <f t="shared" si="93"/>
        <v>0</v>
      </c>
      <c r="AG312" s="770" t="s">
        <v>26</v>
      </c>
      <c r="AH312" s="770">
        <f t="shared" si="94"/>
        <v>0</v>
      </c>
      <c r="AI312" s="771">
        <f t="shared" si="95"/>
        <v>0</v>
      </c>
      <c r="AJ312" s="770" t="str">
        <f t="shared" si="96"/>
        <v/>
      </c>
      <c r="AK312" s="770" t="str">
        <f t="shared" si="97"/>
        <v/>
      </c>
    </row>
    <row r="313" spans="1:38" s="773" customFormat="1" ht="24" hidden="1" customHeight="1" x14ac:dyDescent="0.15">
      <c r="A313" s="884">
        <v>294</v>
      </c>
      <c r="B313" s="972"/>
      <c r="C313" s="972"/>
      <c r="D313" s="972"/>
      <c r="E313" s="973"/>
      <c r="F313" s="973"/>
      <c r="G313" s="930"/>
      <c r="H313" s="987"/>
      <c r="I313" s="987"/>
      <c r="J313" s="930"/>
      <c r="K313" s="930"/>
      <c r="L313" s="988"/>
      <c r="M313" s="980"/>
      <c r="N313" s="991"/>
      <c r="O313" s="992"/>
      <c r="P313" s="980"/>
      <c r="Q313" s="980"/>
      <c r="R313" s="980"/>
      <c r="S313" s="982"/>
      <c r="T313" s="770" t="s">
        <v>51</v>
      </c>
      <c r="U313" s="770">
        <f>COUNTIF(D300:D319,"체")</f>
        <v>0</v>
      </c>
      <c r="V313" s="771">
        <f>COUNTIF(I300:I319,"체")</f>
        <v>0</v>
      </c>
      <c r="W313" s="770" t="s">
        <v>26</v>
      </c>
      <c r="X313" s="770">
        <f>SUMIF(D300:D319,"체",F300:F319)</f>
        <v>0</v>
      </c>
      <c r="Y313" s="771">
        <f>SUMIF(I300:I319,"체",K300:K319)</f>
        <v>0</v>
      </c>
      <c r="Z313" s="770">
        <f>COUNTIF(AJ300:AJ319,"체국")+COUNTIF(AJ300:AJ319,"체공")</f>
        <v>0</v>
      </c>
      <c r="AA313" s="771">
        <f>COUNTIF(AK300:AK319,"체국")+COUNTIF(AK300:AK319,"체공")</f>
        <v>0</v>
      </c>
      <c r="AB313" s="770" t="s">
        <v>26</v>
      </c>
      <c r="AC313" s="770">
        <f>SUMIF(AJ300:AJ319,"체국",F300:F319)+SUMIF(AJ300:AJ319,"체공",F300:F319)</f>
        <v>0</v>
      </c>
      <c r="AD313" s="771">
        <f>SUMIF(AK300:AK319,"체국",K300:K319)+SUMIF(AK300:AK319,"체공",K300:K319)</f>
        <v>0</v>
      </c>
      <c r="AE313" s="770">
        <f t="shared" si="92"/>
        <v>0</v>
      </c>
      <c r="AF313" s="771">
        <f t="shared" si="93"/>
        <v>0</v>
      </c>
      <c r="AG313" s="770" t="s">
        <v>26</v>
      </c>
      <c r="AH313" s="770">
        <f t="shared" si="94"/>
        <v>0</v>
      </c>
      <c r="AI313" s="771">
        <f t="shared" si="95"/>
        <v>0</v>
      </c>
      <c r="AJ313" s="770" t="str">
        <f t="shared" si="96"/>
        <v/>
      </c>
      <c r="AK313" s="770" t="str">
        <f t="shared" si="97"/>
        <v/>
      </c>
    </row>
    <row r="314" spans="1:38" s="773" customFormat="1" ht="24" hidden="1" customHeight="1" x14ac:dyDescent="0.15">
      <c r="A314" s="884">
        <v>295</v>
      </c>
      <c r="B314" s="972"/>
      <c r="C314" s="972"/>
      <c r="D314" s="972"/>
      <c r="E314" s="973"/>
      <c r="F314" s="973"/>
      <c r="G314" s="930"/>
      <c r="H314" s="987"/>
      <c r="I314" s="987"/>
      <c r="J314" s="930"/>
      <c r="K314" s="930"/>
      <c r="L314" s="988"/>
      <c r="M314" s="980"/>
      <c r="N314" s="991"/>
      <c r="O314" s="992"/>
      <c r="P314" s="980"/>
      <c r="Q314" s="980"/>
      <c r="R314" s="980"/>
      <c r="S314" s="982"/>
      <c r="T314" s="770" t="s">
        <v>50</v>
      </c>
      <c r="U314" s="770">
        <f>COUNTIF(D300:D319,"공")</f>
        <v>0</v>
      </c>
      <c r="V314" s="771">
        <f>COUNTIF(I300:I319,"공")</f>
        <v>0</v>
      </c>
      <c r="W314" s="770" t="s">
        <v>26</v>
      </c>
      <c r="X314" s="770">
        <f>SUMIF(D300:D319,"공",F300:F319)</f>
        <v>0</v>
      </c>
      <c r="Y314" s="771">
        <f>SUMIF(I300:I319,"공",K300:K319)</f>
        <v>0</v>
      </c>
      <c r="Z314" s="770">
        <f>COUNTIF(AJ300:AJ319,"공국")+COUNTIF(AJ300:AJ319,"공공")</f>
        <v>0</v>
      </c>
      <c r="AA314" s="771">
        <f>COUNTIF(AK300:AK319,"공국")+COUNTIF(AK300:AK319,"공공")</f>
        <v>0</v>
      </c>
      <c r="AB314" s="770" t="s">
        <v>26</v>
      </c>
      <c r="AC314" s="770">
        <f>SUMIF(AJ300:AJ319,"공국",F300:F319)+SUMIF(AJ300:AJ319,"공공",F300:F319)</f>
        <v>0</v>
      </c>
      <c r="AD314" s="771">
        <f>SUMIF(AK300:AK319,"공국",K300:K319)+SUMIF(AK300:AK319,"공공",K300:K319)</f>
        <v>0</v>
      </c>
      <c r="AE314" s="770">
        <f t="shared" si="92"/>
        <v>0</v>
      </c>
      <c r="AF314" s="771">
        <f t="shared" si="93"/>
        <v>0</v>
      </c>
      <c r="AG314" s="770" t="s">
        <v>26</v>
      </c>
      <c r="AH314" s="770">
        <f t="shared" si="94"/>
        <v>0</v>
      </c>
      <c r="AI314" s="771">
        <f t="shared" si="95"/>
        <v>0</v>
      </c>
      <c r="AJ314" s="770" t="str">
        <f t="shared" si="96"/>
        <v/>
      </c>
      <c r="AK314" s="770" t="str">
        <f t="shared" si="97"/>
        <v/>
      </c>
    </row>
    <row r="315" spans="1:38" s="773" customFormat="1" ht="24" hidden="1" customHeight="1" x14ac:dyDescent="0.15">
      <c r="A315" s="884">
        <v>296</v>
      </c>
      <c r="B315" s="972"/>
      <c r="C315" s="972"/>
      <c r="D315" s="972"/>
      <c r="E315" s="973"/>
      <c r="F315" s="973"/>
      <c r="G315" s="930"/>
      <c r="H315" s="987"/>
      <c r="I315" s="987"/>
      <c r="J315" s="930"/>
      <c r="K315" s="930"/>
      <c r="L315" s="988"/>
      <c r="M315" s="980"/>
      <c r="N315" s="991"/>
      <c r="O315" s="992"/>
      <c r="P315" s="980"/>
      <c r="Q315" s="980"/>
      <c r="R315" s="980"/>
      <c r="S315" s="982"/>
      <c r="T315" s="791" t="s">
        <v>40</v>
      </c>
      <c r="U315" s="770">
        <f>COUNTIF(D300:D319,"장")</f>
        <v>0</v>
      </c>
      <c r="V315" s="771">
        <f>COUNTIF(I300:I319,"장")</f>
        <v>0</v>
      </c>
      <c r="W315" s="770" t="s">
        <v>26</v>
      </c>
      <c r="X315" s="770">
        <f>SUMIF(D300:D319,"장",F300:F319)</f>
        <v>0</v>
      </c>
      <c r="Y315" s="771">
        <f>SUMIF(I300:I319,"장",K300:K319)</f>
        <v>0</v>
      </c>
      <c r="Z315" s="770">
        <f>COUNTIF(AJ300:AJ319,"장국")+COUNTIF(AJ300:AJ319,"장공")</f>
        <v>0</v>
      </c>
      <c r="AA315" s="771">
        <f>COUNTIF(AK300:AK319,"장국")+COUNTIF(AK300:AK319,"장공")</f>
        <v>0</v>
      </c>
      <c r="AB315" s="770" t="s">
        <v>26</v>
      </c>
      <c r="AC315" s="770">
        <f>SUMIF(AJ300:AJ319,"장국",F300:F319)+SUMIF(AJ300:AJ319,"장공",F300:F319)</f>
        <v>0</v>
      </c>
      <c r="AD315" s="771">
        <f>SUMIF(AK300:AK319,"장국",K300:K319)+SUMIF(AK300:AK319,"장공",K300:K319)</f>
        <v>0</v>
      </c>
      <c r="AE315" s="770">
        <f t="shared" si="92"/>
        <v>0</v>
      </c>
      <c r="AF315" s="771">
        <f t="shared" si="93"/>
        <v>0</v>
      </c>
      <c r="AG315" s="770" t="s">
        <v>26</v>
      </c>
      <c r="AH315" s="770">
        <f t="shared" si="94"/>
        <v>0</v>
      </c>
      <c r="AI315" s="771">
        <f t="shared" si="95"/>
        <v>0</v>
      </c>
      <c r="AJ315" s="770" t="str">
        <f t="shared" si="96"/>
        <v/>
      </c>
      <c r="AK315" s="770" t="str">
        <f t="shared" si="97"/>
        <v/>
      </c>
    </row>
    <row r="316" spans="1:38" s="773" customFormat="1" ht="24" hidden="1" customHeight="1" x14ac:dyDescent="0.15">
      <c r="A316" s="884">
        <v>297</v>
      </c>
      <c r="B316" s="972"/>
      <c r="C316" s="972"/>
      <c r="D316" s="972"/>
      <c r="E316" s="973"/>
      <c r="F316" s="973"/>
      <c r="G316" s="930"/>
      <c r="H316" s="987"/>
      <c r="I316" s="987"/>
      <c r="J316" s="930"/>
      <c r="K316" s="930"/>
      <c r="L316" s="988"/>
      <c r="M316" s="980"/>
      <c r="N316" s="991"/>
      <c r="O316" s="992"/>
      <c r="P316" s="980"/>
      <c r="Q316" s="980"/>
      <c r="R316" s="980"/>
      <c r="S316" s="982"/>
      <c r="T316" s="791" t="s">
        <v>5</v>
      </c>
      <c r="U316" s="770">
        <f>COUNTIF(D300:D319,"목")</f>
        <v>0</v>
      </c>
      <c r="V316" s="771">
        <f>COUNTIF(I300:I319,"목")</f>
        <v>0</v>
      </c>
      <c r="W316" s="770" t="s">
        <v>26</v>
      </c>
      <c r="X316" s="770">
        <f>SUMIF(D300:D319,"목",F300:F319)</f>
        <v>0</v>
      </c>
      <c r="Y316" s="771">
        <f>SUMIF(I300:I319,"목",K300:K319)</f>
        <v>0</v>
      </c>
      <c r="Z316" s="770">
        <f>COUNTIF(AJ300:AJ319,"목국")+COUNTIF(AJ300:AJ319,"목공")</f>
        <v>0</v>
      </c>
      <c r="AA316" s="771">
        <f>COUNTIF(AK300:AK319,"목국")+COUNTIF(AK300:AK319,"목공")</f>
        <v>0</v>
      </c>
      <c r="AB316" s="770" t="s">
        <v>26</v>
      </c>
      <c r="AC316" s="770">
        <f>SUMIF(AJ300:AJ319,"목국",F300:F319)+SUMIF(AJ300:AJ319,"목공",F300:F319)</f>
        <v>0</v>
      </c>
      <c r="AD316" s="771">
        <f>SUMIF(AK300:AK319,"목국",K300:K319)+SUMIF(AK300:AK319,"목공",K300:K319)</f>
        <v>0</v>
      </c>
      <c r="AE316" s="770">
        <f t="shared" si="92"/>
        <v>0</v>
      </c>
      <c r="AF316" s="771">
        <f t="shared" si="93"/>
        <v>0</v>
      </c>
      <c r="AG316" s="770" t="s">
        <v>26</v>
      </c>
      <c r="AH316" s="770">
        <f t="shared" si="94"/>
        <v>0</v>
      </c>
      <c r="AI316" s="771">
        <f t="shared" si="95"/>
        <v>0</v>
      </c>
      <c r="AJ316" s="770" t="str">
        <f t="shared" si="96"/>
        <v/>
      </c>
      <c r="AK316" s="770" t="str">
        <f t="shared" si="97"/>
        <v/>
      </c>
    </row>
    <row r="317" spans="1:38" s="773" customFormat="1" ht="24" hidden="1" customHeight="1" x14ac:dyDescent="0.15">
      <c r="A317" s="884">
        <v>298</v>
      </c>
      <c r="B317" s="972"/>
      <c r="C317" s="972"/>
      <c r="D317" s="972"/>
      <c r="E317" s="973"/>
      <c r="F317" s="973"/>
      <c r="G317" s="930"/>
      <c r="H317" s="987"/>
      <c r="I317" s="987"/>
      <c r="J317" s="930"/>
      <c r="K317" s="930"/>
      <c r="L317" s="988"/>
      <c r="M317" s="980"/>
      <c r="N317" s="991"/>
      <c r="O317" s="992"/>
      <c r="P317" s="980"/>
      <c r="Q317" s="980"/>
      <c r="R317" s="980"/>
      <c r="S317" s="982"/>
      <c r="T317" s="791"/>
      <c r="U317" s="791"/>
      <c r="V317" s="792"/>
      <c r="W317" s="791"/>
      <c r="X317" s="791"/>
      <c r="Y317" s="792"/>
      <c r="Z317" s="770"/>
      <c r="AA317" s="771"/>
      <c r="AB317" s="791"/>
      <c r="AC317" s="770"/>
      <c r="AD317" s="771"/>
      <c r="AE317" s="791"/>
      <c r="AF317" s="792"/>
      <c r="AG317" s="791"/>
      <c r="AH317" s="791"/>
      <c r="AI317" s="792"/>
      <c r="AJ317" s="770" t="str">
        <f t="shared" si="96"/>
        <v/>
      </c>
      <c r="AK317" s="770" t="str">
        <f t="shared" si="97"/>
        <v/>
      </c>
    </row>
    <row r="318" spans="1:38" s="773" customFormat="1" ht="24" hidden="1" customHeight="1" x14ac:dyDescent="0.15">
      <c r="A318" s="884">
        <v>299</v>
      </c>
      <c r="B318" s="972"/>
      <c r="C318" s="972"/>
      <c r="D318" s="972"/>
      <c r="E318" s="973"/>
      <c r="F318" s="973"/>
      <c r="G318" s="930"/>
      <c r="H318" s="987"/>
      <c r="I318" s="987"/>
      <c r="J318" s="930"/>
      <c r="K318" s="930"/>
      <c r="L318" s="988"/>
      <c r="M318" s="980"/>
      <c r="N318" s="991"/>
      <c r="O318" s="992"/>
      <c r="P318" s="980"/>
      <c r="Q318" s="980"/>
      <c r="R318" s="980"/>
      <c r="S318" s="982"/>
      <c r="T318" s="791"/>
      <c r="U318" s="791"/>
      <c r="V318" s="792"/>
      <c r="W318" s="791"/>
      <c r="X318" s="791"/>
      <c r="Y318" s="792"/>
      <c r="Z318" s="770"/>
      <c r="AA318" s="771"/>
      <c r="AB318" s="791"/>
      <c r="AC318" s="770"/>
      <c r="AD318" s="771"/>
      <c r="AE318" s="791"/>
      <c r="AF318" s="792"/>
      <c r="AG318" s="791"/>
      <c r="AH318" s="791"/>
      <c r="AI318" s="792"/>
      <c r="AJ318" s="770" t="str">
        <f t="shared" si="96"/>
        <v/>
      </c>
      <c r="AK318" s="770" t="str">
        <f t="shared" si="97"/>
        <v/>
      </c>
    </row>
    <row r="319" spans="1:38" s="773" customFormat="1" ht="24" hidden="1" customHeight="1" x14ac:dyDescent="0.15">
      <c r="A319" s="884">
        <v>300</v>
      </c>
      <c r="B319" s="972"/>
      <c r="C319" s="972"/>
      <c r="D319" s="972"/>
      <c r="E319" s="973"/>
      <c r="F319" s="973"/>
      <c r="G319" s="930"/>
      <c r="H319" s="987"/>
      <c r="I319" s="987"/>
      <c r="J319" s="930"/>
      <c r="K319" s="930"/>
      <c r="L319" s="988"/>
      <c r="M319" s="980"/>
      <c r="N319" s="991"/>
      <c r="O319" s="992"/>
      <c r="P319" s="980"/>
      <c r="Q319" s="980"/>
      <c r="R319" s="980"/>
      <c r="S319" s="1006"/>
      <c r="T319" s="794" t="s">
        <v>37</v>
      </c>
      <c r="U319" s="794">
        <f>COUNTIF(D300:D319,"철")</f>
        <v>0</v>
      </c>
      <c r="V319" s="795">
        <f>COUNTIF(I300:I319,"철")</f>
        <v>0</v>
      </c>
      <c r="W319" s="794" t="s">
        <v>26</v>
      </c>
      <c r="X319" s="794">
        <f>SUMIF(D300:D319,"철",F300:F319)</f>
        <v>0</v>
      </c>
      <c r="Y319" s="795">
        <f>SUMIF(I300:I319,"철",K300:K319)</f>
        <v>0</v>
      </c>
      <c r="Z319" s="770">
        <f>COUNTIF(AJ300:AJ319,"철국")+COUNTIF(AJ300:AJ319,"철공")</f>
        <v>0</v>
      </c>
      <c r="AA319" s="771">
        <f>COUNTIF(AK300:AK319,"철국")+COUNTIF(AK300:AK319,"철공")</f>
        <v>0</v>
      </c>
      <c r="AB319" s="794" t="s">
        <v>26</v>
      </c>
      <c r="AC319" s="770">
        <f>SUMIF(AJ300:AJ319,"철국",F300:F319)+SUMIF(AJ300:AJ319,"철공",F300:F319)</f>
        <v>0</v>
      </c>
      <c r="AD319" s="771">
        <f>SUMIF(AK300:AK319,"철국",K300:K319)+SUMIF(AK300:AK319,"철공",K300:K319)</f>
        <v>0</v>
      </c>
      <c r="AE319" s="794"/>
      <c r="AF319" s="795"/>
      <c r="AG319" s="794"/>
      <c r="AH319" s="794"/>
      <c r="AI319" s="795"/>
      <c r="AJ319" s="770" t="str">
        <f t="shared" si="96"/>
        <v/>
      </c>
      <c r="AK319" s="770" t="str">
        <f t="shared" si="97"/>
        <v/>
      </c>
    </row>
    <row r="320" spans="1:38" s="773" customFormat="1" ht="24.95" hidden="1" customHeight="1" thickBot="1" x14ac:dyDescent="0.2">
      <c r="A320" s="1082" t="s">
        <v>48</v>
      </c>
      <c r="B320" s="1083"/>
      <c r="C320" s="1083"/>
      <c r="D320" s="1083"/>
      <c r="E320" s="1084"/>
      <c r="F320" s="798">
        <f>SUM(F300:F319)</f>
        <v>0</v>
      </c>
      <c r="G320" s="993"/>
      <c r="H320" s="994"/>
      <c r="I320" s="994"/>
      <c r="J320" s="993"/>
      <c r="K320" s="971">
        <f>SUM(K300:K319)</f>
        <v>0</v>
      </c>
      <c r="L320" s="995"/>
      <c r="M320" s="996"/>
      <c r="N320" s="997"/>
      <c r="O320" s="998"/>
      <c r="P320" s="996"/>
      <c r="Q320" s="996"/>
      <c r="R320" s="996"/>
      <c r="S320" s="999"/>
      <c r="T320" s="806" t="s">
        <v>24</v>
      </c>
      <c r="U320" s="807">
        <f t="shared" ref="U320:AA320" si="98">SUM(U300:U319)</f>
        <v>0</v>
      </c>
      <c r="V320" s="807">
        <f t="shared" si="98"/>
        <v>0</v>
      </c>
      <c r="W320" s="807">
        <f t="shared" si="98"/>
        <v>0</v>
      </c>
      <c r="X320" s="807">
        <f t="shared" si="98"/>
        <v>0</v>
      </c>
      <c r="Y320" s="807">
        <f t="shared" si="98"/>
        <v>0</v>
      </c>
      <c r="Z320" s="822">
        <f t="shared" si="98"/>
        <v>0</v>
      </c>
      <c r="AA320" s="823">
        <f t="shared" si="98"/>
        <v>0</v>
      </c>
      <c r="AB320" s="822" t="s">
        <v>26</v>
      </c>
      <c r="AC320" s="822">
        <f>SUM(AC300:AC319)</f>
        <v>0</v>
      </c>
      <c r="AD320" s="823">
        <f>SUM(AD300:AD319)</f>
        <v>0</v>
      </c>
      <c r="AE320" s="807">
        <f>SUM(AE300:AE319)</f>
        <v>0</v>
      </c>
      <c r="AF320" s="807">
        <f>SUM(AF300:AF319)</f>
        <v>0</v>
      </c>
      <c r="AG320" s="807" t="s">
        <v>26</v>
      </c>
      <c r="AH320" s="807">
        <f>SUM(AH300:AH319)</f>
        <v>0</v>
      </c>
      <c r="AI320" s="807">
        <f>SUM(AI300:AI319)</f>
        <v>0</v>
      </c>
      <c r="AJ320" s="807"/>
      <c r="AK320" s="755"/>
      <c r="AL320" s="772"/>
    </row>
    <row r="321" spans="1:37" s="773" customFormat="1" ht="24" hidden="1" customHeight="1" x14ac:dyDescent="0.15">
      <c r="A321" s="877">
        <v>301</v>
      </c>
      <c r="B321" s="983"/>
      <c r="C321" s="983"/>
      <c r="D321" s="983"/>
      <c r="E321" s="984"/>
      <c r="F321" s="984"/>
      <c r="G321" s="939"/>
      <c r="H321" s="1000"/>
      <c r="I321" s="1000"/>
      <c r="J321" s="939"/>
      <c r="K321" s="939"/>
      <c r="L321" s="1001"/>
      <c r="M321" s="985"/>
      <c r="N321" s="1002"/>
      <c r="O321" s="1003"/>
      <c r="P321" s="985"/>
      <c r="Q321" s="985"/>
      <c r="R321" s="985"/>
      <c r="S321" s="986"/>
      <c r="T321" s="770" t="s">
        <v>27</v>
      </c>
      <c r="U321" s="770">
        <f>COUNTIF(D321:D340,"전")</f>
        <v>0</v>
      </c>
      <c r="V321" s="771">
        <f>COUNTIF(I321:I340,"전")</f>
        <v>0</v>
      </c>
      <c r="W321" s="770" t="s">
        <v>26</v>
      </c>
      <c r="X321" s="770">
        <f>SUMIF(D321:D340,"전",F321:F340)</f>
        <v>0</v>
      </c>
      <c r="Y321" s="771">
        <f>SUMIF(I321:I340,"전",K321:K340)</f>
        <v>0</v>
      </c>
      <c r="Z321" s="770">
        <f>COUNTIF(AJ321:AJ340,"전국")+COUNTIF(AJ321:AJ340,"전공")</f>
        <v>0</v>
      </c>
      <c r="AA321" s="771">
        <f>COUNTIF(AK321:AK340,"전국")+COUNTIF(AK321:AK340,"전공")</f>
        <v>0</v>
      </c>
      <c r="AB321" s="770" t="s">
        <v>26</v>
      </c>
      <c r="AC321" s="770">
        <f>SUMIF(AJ321:AJ340,"전국",F321:F340)+SUMIF(AJ321:AJ340,"전공",F321:F340)</f>
        <v>0</v>
      </c>
      <c r="AD321" s="771">
        <f>SUMIF(AK321:AK340,"전국",K321:K340)+SUMIF(AK321:AK340,"전공",K321:K340)</f>
        <v>0</v>
      </c>
      <c r="AE321" s="770">
        <f t="shared" ref="AE321:AE337" si="99">U321-Z321</f>
        <v>0</v>
      </c>
      <c r="AF321" s="771">
        <f t="shared" ref="AF321:AF337" si="100">V321-AA321</f>
        <v>0</v>
      </c>
      <c r="AG321" s="770" t="s">
        <v>26</v>
      </c>
      <c r="AH321" s="770">
        <f t="shared" ref="AH321:AH337" si="101">X321-AC321</f>
        <v>0</v>
      </c>
      <c r="AI321" s="771">
        <f t="shared" ref="AI321:AI337" si="102">Y321-AD321</f>
        <v>0</v>
      </c>
      <c r="AJ321" s="770" t="str">
        <f t="shared" ref="AJ321:AJ340" si="103">CONCATENATE(D321,L321)</f>
        <v/>
      </c>
      <c r="AK321" s="770" t="str">
        <f t="shared" ref="AK321:AK340" si="104">CONCATENATE(I321,L321)</f>
        <v/>
      </c>
    </row>
    <row r="322" spans="1:37" s="773" customFormat="1" ht="24" hidden="1" customHeight="1" x14ac:dyDescent="0.15">
      <c r="A322" s="884">
        <v>302</v>
      </c>
      <c r="B322" s="972"/>
      <c r="C322" s="972"/>
      <c r="D322" s="972"/>
      <c r="E322" s="973"/>
      <c r="F322" s="973"/>
      <c r="G322" s="930"/>
      <c r="H322" s="987"/>
      <c r="I322" s="987"/>
      <c r="J322" s="930"/>
      <c r="K322" s="930"/>
      <c r="L322" s="988"/>
      <c r="M322" s="980"/>
      <c r="N322" s="991"/>
      <c r="O322" s="992"/>
      <c r="P322" s="980"/>
      <c r="Q322" s="980"/>
      <c r="R322" s="980"/>
      <c r="S322" s="982"/>
      <c r="T322" s="770" t="s">
        <v>28</v>
      </c>
      <c r="U322" s="770">
        <f>COUNTIF(D321:D340,"답")</f>
        <v>0</v>
      </c>
      <c r="V322" s="771">
        <f>COUNTIF(I321:I340,"답")</f>
        <v>0</v>
      </c>
      <c r="W322" s="770" t="s">
        <v>26</v>
      </c>
      <c r="X322" s="770">
        <f>SUMIF(D321:D340,"답",F321:F340)</f>
        <v>0</v>
      </c>
      <c r="Y322" s="771">
        <f>SUMIF(I321:I340,"답",K321:K340)</f>
        <v>0</v>
      </c>
      <c r="Z322" s="770">
        <f>COUNTIF(AJ321:AJ340,"답국")+COUNTIF(AJ321:AJ340,"답공")</f>
        <v>0</v>
      </c>
      <c r="AA322" s="771">
        <f>COUNTIF(AK321:AK340,"답국")+COUNTIF(AK321:AK340,"답공")</f>
        <v>0</v>
      </c>
      <c r="AB322" s="770" t="s">
        <v>26</v>
      </c>
      <c r="AC322" s="770">
        <f>SUMIF(AJ321:AJ340,"답국",F321:F340)+SUMIF(AJ321:AJ340,"답공",F321:F340)</f>
        <v>0</v>
      </c>
      <c r="AD322" s="771">
        <f>SUMIF(AK321:AK340,"답국",K321:K340)+SUMIF(AK321:AK340,"답공",K321:K340)</f>
        <v>0</v>
      </c>
      <c r="AE322" s="770">
        <f t="shared" si="99"/>
        <v>0</v>
      </c>
      <c r="AF322" s="771">
        <f t="shared" si="100"/>
        <v>0</v>
      </c>
      <c r="AG322" s="770" t="s">
        <v>26</v>
      </c>
      <c r="AH322" s="770">
        <f t="shared" si="101"/>
        <v>0</v>
      </c>
      <c r="AI322" s="771">
        <f t="shared" si="102"/>
        <v>0</v>
      </c>
      <c r="AJ322" s="770" t="str">
        <f t="shared" si="103"/>
        <v/>
      </c>
      <c r="AK322" s="770" t="str">
        <f t="shared" si="104"/>
        <v/>
      </c>
    </row>
    <row r="323" spans="1:37" s="773" customFormat="1" ht="24" hidden="1" customHeight="1" x14ac:dyDescent="0.15">
      <c r="A323" s="884">
        <v>303</v>
      </c>
      <c r="B323" s="972"/>
      <c r="C323" s="972"/>
      <c r="D323" s="972"/>
      <c r="E323" s="973"/>
      <c r="F323" s="973"/>
      <c r="G323" s="930"/>
      <c r="H323" s="987"/>
      <c r="I323" s="987"/>
      <c r="J323" s="930"/>
      <c r="K323" s="930"/>
      <c r="L323" s="988"/>
      <c r="M323" s="980"/>
      <c r="N323" s="991"/>
      <c r="O323" s="992"/>
      <c r="P323" s="980"/>
      <c r="Q323" s="980"/>
      <c r="R323" s="980"/>
      <c r="S323" s="982"/>
      <c r="T323" s="770" t="s">
        <v>44</v>
      </c>
      <c r="U323" s="770">
        <f>COUNTIF(D321:D340,"임")</f>
        <v>0</v>
      </c>
      <c r="V323" s="771">
        <f>COUNTIF(I321:I340,"임")</f>
        <v>0</v>
      </c>
      <c r="W323" s="770" t="s">
        <v>26</v>
      </c>
      <c r="X323" s="770">
        <f>SUMIF(D321:D340,"임",F321:F340)</f>
        <v>0</v>
      </c>
      <c r="Y323" s="771">
        <f>SUMIF(I321:I340,"임",K321:K340)</f>
        <v>0</v>
      </c>
      <c r="Z323" s="770">
        <f>COUNTIF(AJ321:AJ340,"임국")+COUNTIF(AJ321:AJ340,"임공")</f>
        <v>0</v>
      </c>
      <c r="AA323" s="771">
        <f>COUNTIF(AK321:AK340,"임국")+COUNTIF(AK321:AK340,"임공")</f>
        <v>0</v>
      </c>
      <c r="AB323" s="770" t="s">
        <v>26</v>
      </c>
      <c r="AC323" s="770">
        <f>SUMIF(AJ321:AJ340,"임국",F321:F340)+SUMIF(AJ321:AJ340,"임공",F321:F340)</f>
        <v>0</v>
      </c>
      <c r="AD323" s="771">
        <f>SUMIF(AK321:AK340,"임국",K321:K340)+SUMIF(AK321:AK340,"임공",K321:K340)</f>
        <v>0</v>
      </c>
      <c r="AE323" s="770">
        <f t="shared" si="99"/>
        <v>0</v>
      </c>
      <c r="AF323" s="771">
        <f t="shared" si="100"/>
        <v>0</v>
      </c>
      <c r="AG323" s="770" t="s">
        <v>26</v>
      </c>
      <c r="AH323" s="770">
        <f t="shared" si="101"/>
        <v>0</v>
      </c>
      <c r="AI323" s="771">
        <f t="shared" si="102"/>
        <v>0</v>
      </c>
      <c r="AJ323" s="770" t="str">
        <f t="shared" si="103"/>
        <v/>
      </c>
      <c r="AK323" s="770" t="str">
        <f t="shared" si="104"/>
        <v/>
      </c>
    </row>
    <row r="324" spans="1:37" s="773" customFormat="1" ht="24" hidden="1" customHeight="1" x14ac:dyDescent="0.15">
      <c r="A324" s="884">
        <v>304</v>
      </c>
      <c r="B324" s="972"/>
      <c r="C324" s="972"/>
      <c r="D324" s="972"/>
      <c r="E324" s="973"/>
      <c r="F324" s="973"/>
      <c r="G324" s="930"/>
      <c r="H324" s="987"/>
      <c r="I324" s="987"/>
      <c r="J324" s="930"/>
      <c r="K324" s="930"/>
      <c r="L324" s="988"/>
      <c r="M324" s="980"/>
      <c r="N324" s="991"/>
      <c r="O324" s="992"/>
      <c r="P324" s="980"/>
      <c r="Q324" s="980"/>
      <c r="R324" s="980"/>
      <c r="S324" s="982"/>
      <c r="T324" s="770" t="s">
        <v>45</v>
      </c>
      <c r="U324" s="770">
        <f>COUNTIF(D321:D340,"대")</f>
        <v>0</v>
      </c>
      <c r="V324" s="771">
        <f>COUNTIF(I321:I340,"대")</f>
        <v>0</v>
      </c>
      <c r="W324" s="770" t="s">
        <v>26</v>
      </c>
      <c r="X324" s="770">
        <f>SUMIF(D321:D340,"대",F321:F340)</f>
        <v>0</v>
      </c>
      <c r="Y324" s="771">
        <f>SUMIF(I321:I340,"대",K321:K340)</f>
        <v>0</v>
      </c>
      <c r="Z324" s="770">
        <f>COUNTIF(AJ321:AJ340,"대국")+COUNTIF(AJ321:AJ340,"대공")</f>
        <v>0</v>
      </c>
      <c r="AA324" s="771">
        <f>COUNTIF(AK321:AK340,"대국")+COUNTIF(AK321:AK340,"대공")</f>
        <v>0</v>
      </c>
      <c r="AB324" s="770" t="s">
        <v>26</v>
      </c>
      <c r="AC324" s="770">
        <f>SUMIF(AJ321:AJ340,"대국",F321:F340)+SUMIF(AJ321:AJ340,"대공",F321:F340)</f>
        <v>0</v>
      </c>
      <c r="AD324" s="771">
        <f>SUMIF(AK321:AK340,"대국",K321:K340)+SUMIF(AK321:AK340,"대공",K321:K340)</f>
        <v>0</v>
      </c>
      <c r="AE324" s="770">
        <f t="shared" si="99"/>
        <v>0</v>
      </c>
      <c r="AF324" s="771">
        <f t="shared" si="100"/>
        <v>0</v>
      </c>
      <c r="AG324" s="770" t="s">
        <v>26</v>
      </c>
      <c r="AH324" s="770">
        <f t="shared" si="101"/>
        <v>0</v>
      </c>
      <c r="AI324" s="771">
        <f t="shared" si="102"/>
        <v>0</v>
      </c>
      <c r="AJ324" s="770" t="str">
        <f t="shared" si="103"/>
        <v/>
      </c>
      <c r="AK324" s="770" t="str">
        <f t="shared" si="104"/>
        <v/>
      </c>
    </row>
    <row r="325" spans="1:37" s="773" customFormat="1" ht="24" hidden="1" customHeight="1" x14ac:dyDescent="0.15">
      <c r="A325" s="884">
        <v>305</v>
      </c>
      <c r="B325" s="972"/>
      <c r="C325" s="972"/>
      <c r="D325" s="972"/>
      <c r="E325" s="973"/>
      <c r="F325" s="973"/>
      <c r="G325" s="930"/>
      <c r="H325" s="987"/>
      <c r="I325" s="987"/>
      <c r="J325" s="930"/>
      <c r="K325" s="930"/>
      <c r="L325" s="988"/>
      <c r="M325" s="980"/>
      <c r="N325" s="991"/>
      <c r="O325" s="992"/>
      <c r="P325" s="980"/>
      <c r="Q325" s="980"/>
      <c r="R325" s="980"/>
      <c r="S325" s="982"/>
      <c r="T325" s="770" t="s">
        <v>31</v>
      </c>
      <c r="U325" s="770">
        <f>COUNTIF(D321:D340,"도")</f>
        <v>0</v>
      </c>
      <c r="V325" s="771">
        <f>COUNTIF(I321:I340,"도")</f>
        <v>0</v>
      </c>
      <c r="W325" s="770" t="s">
        <v>26</v>
      </c>
      <c r="X325" s="770">
        <f>SUMIF(D321:D340,"도",F321:F340)</f>
        <v>0</v>
      </c>
      <c r="Y325" s="771">
        <f>SUMIF(I321:I340,"도",K321:K340)</f>
        <v>0</v>
      </c>
      <c r="Z325" s="770">
        <f>COUNTIF(AJ321:AJ340,"도국")+COUNTIF(AJ321:AJ340,"도공")</f>
        <v>0</v>
      </c>
      <c r="AA325" s="771">
        <f>COUNTIF(AK321:AK340,"도국")+COUNTIF(AK321:AK340,"도공")</f>
        <v>0</v>
      </c>
      <c r="AB325" s="770" t="s">
        <v>26</v>
      </c>
      <c r="AC325" s="770">
        <f>SUMIF(AJ321:AJ340,"도국",F321:F340)+SUMIF(AJ321:AJ340,"도공",F321:F340)</f>
        <v>0</v>
      </c>
      <c r="AD325" s="771">
        <f>SUMIF(AK321:AK340,"도국",K321:K340)+SUMIF(AK321:AK340,"도공",K321:K340)</f>
        <v>0</v>
      </c>
      <c r="AE325" s="770">
        <f t="shared" si="99"/>
        <v>0</v>
      </c>
      <c r="AF325" s="771">
        <f t="shared" si="100"/>
        <v>0</v>
      </c>
      <c r="AG325" s="770" t="s">
        <v>26</v>
      </c>
      <c r="AH325" s="770">
        <f t="shared" si="101"/>
        <v>0</v>
      </c>
      <c r="AI325" s="771">
        <f t="shared" si="102"/>
        <v>0</v>
      </c>
      <c r="AJ325" s="770" t="str">
        <f t="shared" si="103"/>
        <v/>
      </c>
      <c r="AK325" s="770" t="str">
        <f t="shared" si="104"/>
        <v/>
      </c>
    </row>
    <row r="326" spans="1:37" s="773" customFormat="1" ht="24" hidden="1" customHeight="1" x14ac:dyDescent="0.15">
      <c r="A326" s="884">
        <v>306</v>
      </c>
      <c r="B326" s="972"/>
      <c r="C326" s="972"/>
      <c r="D326" s="972"/>
      <c r="E326" s="973"/>
      <c r="F326" s="973"/>
      <c r="G326" s="930"/>
      <c r="H326" s="987"/>
      <c r="I326" s="987"/>
      <c r="J326" s="930"/>
      <c r="K326" s="930"/>
      <c r="L326" s="988"/>
      <c r="M326" s="1004"/>
      <c r="N326" s="991"/>
      <c r="O326" s="992"/>
      <c r="P326" s="980"/>
      <c r="Q326" s="980"/>
      <c r="R326" s="980"/>
      <c r="S326" s="982"/>
      <c r="T326" s="770" t="s">
        <v>32</v>
      </c>
      <c r="U326" s="786">
        <f>COUNTIF(D321:D340,"천")</f>
        <v>0</v>
      </c>
      <c r="V326" s="787">
        <f>COUNTIF(I321:I340,"천")</f>
        <v>0</v>
      </c>
      <c r="W326" s="770" t="s">
        <v>26</v>
      </c>
      <c r="X326" s="770">
        <f>SUMIF(D321:D340,"천",F321:F340)</f>
        <v>0</v>
      </c>
      <c r="Y326" s="771">
        <f>SUMIF(I321:I340,"천",K321:K340)</f>
        <v>0</v>
      </c>
      <c r="Z326" s="770">
        <f>COUNTIF(AJ321:AJ340,"천국")+COUNTIF(AJ321:AJ340,"천공")</f>
        <v>0</v>
      </c>
      <c r="AA326" s="771">
        <f>COUNTIF(AK321:AK340,"천국")+COUNTIF(AK321:AK340,"천공")</f>
        <v>0</v>
      </c>
      <c r="AB326" s="770" t="s">
        <v>26</v>
      </c>
      <c r="AC326" s="770">
        <f>SUMIF(AJ321:AJ340,"천국",F321:F340)+SUMIF(AJ321:AJ340,"천공",F321:F340)</f>
        <v>0</v>
      </c>
      <c r="AD326" s="771">
        <f>SUMIF(AK321:AK340,"천국",K321:K340)+SUMIF(AK321:AK340,"천공",K321:K340)</f>
        <v>0</v>
      </c>
      <c r="AE326" s="770">
        <f t="shared" si="99"/>
        <v>0</v>
      </c>
      <c r="AF326" s="771">
        <f t="shared" si="100"/>
        <v>0</v>
      </c>
      <c r="AG326" s="770" t="s">
        <v>26</v>
      </c>
      <c r="AH326" s="770">
        <f t="shared" si="101"/>
        <v>0</v>
      </c>
      <c r="AI326" s="771">
        <f t="shared" si="102"/>
        <v>0</v>
      </c>
      <c r="AJ326" s="770" t="str">
        <f t="shared" si="103"/>
        <v/>
      </c>
      <c r="AK326" s="770" t="str">
        <f t="shared" si="104"/>
        <v/>
      </c>
    </row>
    <row r="327" spans="1:37" s="773" customFormat="1" ht="24" hidden="1" customHeight="1" x14ac:dyDescent="0.15">
      <c r="A327" s="884">
        <v>307</v>
      </c>
      <c r="B327" s="972"/>
      <c r="C327" s="972"/>
      <c r="D327" s="972"/>
      <c r="E327" s="973"/>
      <c r="F327" s="973"/>
      <c r="G327" s="930"/>
      <c r="H327" s="987"/>
      <c r="I327" s="987"/>
      <c r="J327" s="930"/>
      <c r="K327" s="930"/>
      <c r="L327" s="988"/>
      <c r="M327" s="980"/>
      <c r="N327" s="991"/>
      <c r="O327" s="992"/>
      <c r="P327" s="980"/>
      <c r="Q327" s="980"/>
      <c r="R327" s="980"/>
      <c r="S327" s="982"/>
      <c r="T327" s="770" t="s">
        <v>33</v>
      </c>
      <c r="U327" s="770">
        <f>COUNTIF(D321:D340,"구")</f>
        <v>0</v>
      </c>
      <c r="V327" s="771">
        <f>COUNTIF(I321:I340,"구")</f>
        <v>0</v>
      </c>
      <c r="W327" s="770" t="s">
        <v>26</v>
      </c>
      <c r="X327" s="770">
        <f>SUMIF(D321:D340,"구",F321:F340)</f>
        <v>0</v>
      </c>
      <c r="Y327" s="771">
        <f>SUMIF(I321:I340,"구",K321:K340)</f>
        <v>0</v>
      </c>
      <c r="Z327" s="770">
        <f>COUNTIF(AJ321:AJ340,"구국")+COUNTIF(AJ321:AJ340,"구공")</f>
        <v>0</v>
      </c>
      <c r="AA327" s="771">
        <f>COUNTIF(AK321:AK340,"구국")+COUNTIF(AK321:AK340,"구공")</f>
        <v>0</v>
      </c>
      <c r="AB327" s="770" t="s">
        <v>26</v>
      </c>
      <c r="AC327" s="770">
        <f>SUMIF(AJ321:AJ340,"구국",F321:F340)+SUMIF(AJ321:AJ340,"구공",F321:F340)</f>
        <v>0</v>
      </c>
      <c r="AD327" s="771">
        <f>SUMIF(AK321:AK340,"구국",K321:K340)+SUMIF(AK321:AK340,"구공",K321:K340)</f>
        <v>0</v>
      </c>
      <c r="AE327" s="770">
        <f t="shared" si="99"/>
        <v>0</v>
      </c>
      <c r="AF327" s="771">
        <f t="shared" si="100"/>
        <v>0</v>
      </c>
      <c r="AG327" s="770" t="s">
        <v>26</v>
      </c>
      <c r="AH327" s="770">
        <f t="shared" si="101"/>
        <v>0</v>
      </c>
      <c r="AI327" s="771">
        <f t="shared" si="102"/>
        <v>0</v>
      </c>
      <c r="AJ327" s="770" t="str">
        <f t="shared" si="103"/>
        <v/>
      </c>
      <c r="AK327" s="770" t="str">
        <f t="shared" si="104"/>
        <v/>
      </c>
    </row>
    <row r="328" spans="1:37" s="773" customFormat="1" ht="24" hidden="1" customHeight="1" x14ac:dyDescent="0.15">
      <c r="A328" s="884">
        <v>308</v>
      </c>
      <c r="B328" s="972"/>
      <c r="C328" s="972"/>
      <c r="D328" s="972"/>
      <c r="E328" s="973"/>
      <c r="F328" s="973"/>
      <c r="G328" s="930"/>
      <c r="H328" s="987"/>
      <c r="I328" s="987"/>
      <c r="J328" s="930"/>
      <c r="K328" s="930"/>
      <c r="L328" s="988"/>
      <c r="M328" s="980"/>
      <c r="N328" s="991"/>
      <c r="O328" s="992"/>
      <c r="P328" s="980"/>
      <c r="Q328" s="980"/>
      <c r="R328" s="980"/>
      <c r="S328" s="982"/>
      <c r="T328" s="770" t="s">
        <v>34</v>
      </c>
      <c r="U328" s="770">
        <f>COUNTIF(D321:D340,"제")</f>
        <v>0</v>
      </c>
      <c r="V328" s="771">
        <f>COUNTIF(I321:I340,"제")</f>
        <v>0</v>
      </c>
      <c r="W328" s="770" t="s">
        <v>26</v>
      </c>
      <c r="X328" s="770">
        <f>SUMIF(D321:D340,"제",F321:F340)</f>
        <v>0</v>
      </c>
      <c r="Y328" s="771">
        <f>SUMIF(I321:I340,"제",K321:K340)</f>
        <v>0</v>
      </c>
      <c r="Z328" s="770">
        <f>COUNTIF(AJ321:AJ340,"제국")+COUNTIF(AJ321:AJ340,"제공")</f>
        <v>0</v>
      </c>
      <c r="AA328" s="771">
        <f>COUNTIF(AK321:AK340,"제국")+COUNTIF(AK321:AK340,"제공")</f>
        <v>0</v>
      </c>
      <c r="AB328" s="770" t="s">
        <v>26</v>
      </c>
      <c r="AC328" s="770">
        <f>SUMIF(AJ321:AJ340,"제국",F321:F340)+SUMIF(AJ321:AJ340,"제공",F321:F340)</f>
        <v>0</v>
      </c>
      <c r="AD328" s="771">
        <f>SUMIF(AK321:AK340,"제국",K321:K340)+SUMIF(AK321:AK340,"제공",K321:K340)</f>
        <v>0</v>
      </c>
      <c r="AE328" s="770">
        <f t="shared" si="99"/>
        <v>0</v>
      </c>
      <c r="AF328" s="771">
        <f t="shared" si="100"/>
        <v>0</v>
      </c>
      <c r="AG328" s="770" t="s">
        <v>26</v>
      </c>
      <c r="AH328" s="770">
        <f t="shared" si="101"/>
        <v>0</v>
      </c>
      <c r="AI328" s="771">
        <f t="shared" si="102"/>
        <v>0</v>
      </c>
      <c r="AJ328" s="770" t="str">
        <f t="shared" si="103"/>
        <v/>
      </c>
      <c r="AK328" s="770" t="str">
        <f t="shared" si="104"/>
        <v/>
      </c>
    </row>
    <row r="329" spans="1:37" s="773" customFormat="1" ht="24" hidden="1" customHeight="1" x14ac:dyDescent="0.15">
      <c r="A329" s="884">
        <v>309</v>
      </c>
      <c r="B329" s="972"/>
      <c r="C329" s="972"/>
      <c r="D329" s="972"/>
      <c r="E329" s="973"/>
      <c r="F329" s="973"/>
      <c r="G329" s="930"/>
      <c r="H329" s="987"/>
      <c r="I329" s="987"/>
      <c r="J329" s="930"/>
      <c r="K329" s="930"/>
      <c r="L329" s="988"/>
      <c r="M329" s="980"/>
      <c r="N329" s="991"/>
      <c r="O329" s="992"/>
      <c r="P329" s="980"/>
      <c r="Q329" s="980"/>
      <c r="R329" s="980"/>
      <c r="S329" s="982"/>
      <c r="T329" s="770" t="s">
        <v>46</v>
      </c>
      <c r="U329" s="770">
        <f>COUNTIF(D321:D340,"유")</f>
        <v>0</v>
      </c>
      <c r="V329" s="771">
        <f>COUNTIF(I321:I340,"유")</f>
        <v>0</v>
      </c>
      <c r="W329" s="770" t="s">
        <v>26</v>
      </c>
      <c r="X329" s="770">
        <f>SUMIF(D321:D340,"유",F321:F340)</f>
        <v>0</v>
      </c>
      <c r="Y329" s="771">
        <f>SUMIF(I321:I340,"유",K321:K340)</f>
        <v>0</v>
      </c>
      <c r="Z329" s="770">
        <f>COUNTIF(AJ321:AJ340,"유국")+COUNTIF(AJ321:AJ340,"유공")</f>
        <v>0</v>
      </c>
      <c r="AA329" s="771">
        <f>COUNTIF(AK321:AK340,"유국")+COUNTIF(AK321:AK340,"유공")</f>
        <v>0</v>
      </c>
      <c r="AB329" s="770" t="s">
        <v>26</v>
      </c>
      <c r="AC329" s="770">
        <f>SUMIF(AJ321:AJ340,"유국",F321:F340)+SUMIF(AJ321:AJ340,"유공",F321:F340)</f>
        <v>0</v>
      </c>
      <c r="AD329" s="771">
        <f>SUMIF(AK321:AK340,"유국",K321:K340)+SUMIF(AK321:AK340,"유공",K321:K340)</f>
        <v>0</v>
      </c>
      <c r="AE329" s="770">
        <f t="shared" si="99"/>
        <v>0</v>
      </c>
      <c r="AF329" s="771">
        <f t="shared" si="100"/>
        <v>0</v>
      </c>
      <c r="AG329" s="770" t="s">
        <v>26</v>
      </c>
      <c r="AH329" s="770">
        <f t="shared" si="101"/>
        <v>0</v>
      </c>
      <c r="AI329" s="771">
        <f t="shared" si="102"/>
        <v>0</v>
      </c>
      <c r="AJ329" s="770" t="str">
        <f t="shared" si="103"/>
        <v/>
      </c>
      <c r="AK329" s="770" t="str">
        <f t="shared" si="104"/>
        <v/>
      </c>
    </row>
    <row r="330" spans="1:37" s="773" customFormat="1" ht="24" hidden="1" customHeight="1" x14ac:dyDescent="0.15">
      <c r="A330" s="884">
        <v>310</v>
      </c>
      <c r="B330" s="972"/>
      <c r="C330" s="972"/>
      <c r="D330" s="972"/>
      <c r="E330" s="973"/>
      <c r="F330" s="973"/>
      <c r="G330" s="930"/>
      <c r="H330" s="987"/>
      <c r="I330" s="987"/>
      <c r="J330" s="930"/>
      <c r="K330" s="930"/>
      <c r="L330" s="988"/>
      <c r="M330" s="980"/>
      <c r="N330" s="991"/>
      <c r="O330" s="992"/>
      <c r="P330" s="980"/>
      <c r="Q330" s="980"/>
      <c r="R330" s="980"/>
      <c r="S330" s="982"/>
      <c r="T330" s="770" t="s">
        <v>47</v>
      </c>
      <c r="U330" s="770">
        <f>COUNTIF(D321:D340,"과")</f>
        <v>0</v>
      </c>
      <c r="V330" s="771">
        <f>COUNTIF(I321:I340,"과")</f>
        <v>0</v>
      </c>
      <c r="W330" s="770" t="s">
        <v>26</v>
      </c>
      <c r="X330" s="770">
        <f>SUMIF(D321:D340,"과",F321:F340)</f>
        <v>0</v>
      </c>
      <c r="Y330" s="771">
        <f>SUMIF(I321:I340,"과",K321:K340)</f>
        <v>0</v>
      </c>
      <c r="Z330" s="770">
        <f>COUNTIF(AJ321:AJ340,"과국")+COUNTIF(AJ321:AJ340,"과공")</f>
        <v>0</v>
      </c>
      <c r="AA330" s="771">
        <f>COUNTIF(AK321:AK340,"과국")+COUNTIF(AK321:AK340,"과공")</f>
        <v>0</v>
      </c>
      <c r="AB330" s="770" t="s">
        <v>26</v>
      </c>
      <c r="AC330" s="770">
        <f>SUMIF(AJ321:AJ340,"과국",F321:F340)+SUMIF(AJ321:AJ340,"과공",F321:F340)</f>
        <v>0</v>
      </c>
      <c r="AD330" s="771">
        <f>SUMIF(AK321:AK340,"과국",K321:K340)+SUMIF(AK321:AK340,"과공",K321:K340)</f>
        <v>0</v>
      </c>
      <c r="AE330" s="770">
        <f t="shared" si="99"/>
        <v>0</v>
      </c>
      <c r="AF330" s="771">
        <f t="shared" si="100"/>
        <v>0</v>
      </c>
      <c r="AG330" s="770" t="s">
        <v>26</v>
      </c>
      <c r="AH330" s="770">
        <f t="shared" si="101"/>
        <v>0</v>
      </c>
      <c r="AI330" s="771">
        <f t="shared" si="102"/>
        <v>0</v>
      </c>
      <c r="AJ330" s="770" t="str">
        <f t="shared" si="103"/>
        <v/>
      </c>
      <c r="AK330" s="770" t="str">
        <f t="shared" si="104"/>
        <v/>
      </c>
    </row>
    <row r="331" spans="1:37" s="773" customFormat="1" ht="24" hidden="1" customHeight="1" x14ac:dyDescent="0.15">
      <c r="A331" s="884">
        <v>311</v>
      </c>
      <c r="B331" s="972"/>
      <c r="C331" s="972"/>
      <c r="D331" s="972"/>
      <c r="E331" s="973"/>
      <c r="F331" s="973"/>
      <c r="G331" s="930"/>
      <c r="H331" s="987"/>
      <c r="I331" s="987"/>
      <c r="J331" s="930"/>
      <c r="K331" s="930"/>
      <c r="L331" s="988"/>
      <c r="M331" s="980"/>
      <c r="N331" s="991"/>
      <c r="O331" s="992"/>
      <c r="P331" s="980"/>
      <c r="Q331" s="980"/>
      <c r="R331" s="980"/>
      <c r="S331" s="982"/>
      <c r="T331" s="770" t="s">
        <v>36</v>
      </c>
      <c r="U331" s="770">
        <f>COUNTIF(D321:D340,"묘")</f>
        <v>0</v>
      </c>
      <c r="V331" s="771">
        <f>COUNTIF(I321:I340,"묘")</f>
        <v>0</v>
      </c>
      <c r="W331" s="770" t="s">
        <v>26</v>
      </c>
      <c r="X331" s="770">
        <f>SUMIF(D321:D340,"묘",F321:F340)</f>
        <v>0</v>
      </c>
      <c r="Y331" s="771">
        <f>SUMIF(I321:I340,"묘",K321:K340)</f>
        <v>0</v>
      </c>
      <c r="Z331" s="770">
        <f>COUNTIF(AJ321:AJ340,"묘국")+COUNTIF(AJ321:AJ340,"묘공")</f>
        <v>0</v>
      </c>
      <c r="AA331" s="771">
        <f>COUNTIF(AK321:AK340,"묘국")+COUNTIF(AK321:AK340,"묘공")</f>
        <v>0</v>
      </c>
      <c r="AB331" s="770" t="s">
        <v>26</v>
      </c>
      <c r="AC331" s="770">
        <f>SUMIF(AJ321:AJ340,"묘국",F321:F340)+SUMIF(AJ321:AJ340,"묘공",F321:F340)</f>
        <v>0</v>
      </c>
      <c r="AD331" s="771">
        <f>SUMIF(AK321:AK340,"묘국",K321:K340)+SUMIF(AK321:AK340,"묘공",K321:K340)</f>
        <v>0</v>
      </c>
      <c r="AE331" s="770">
        <f t="shared" si="99"/>
        <v>0</v>
      </c>
      <c r="AF331" s="771">
        <f t="shared" si="100"/>
        <v>0</v>
      </c>
      <c r="AG331" s="770" t="s">
        <v>26</v>
      </c>
      <c r="AH331" s="770">
        <f t="shared" si="101"/>
        <v>0</v>
      </c>
      <c r="AI331" s="771">
        <f t="shared" si="102"/>
        <v>0</v>
      </c>
      <c r="AJ331" s="770" t="str">
        <f t="shared" si="103"/>
        <v/>
      </c>
      <c r="AK331" s="770" t="str">
        <f t="shared" si="104"/>
        <v/>
      </c>
    </row>
    <row r="332" spans="1:37" s="773" customFormat="1" ht="24" hidden="1" customHeight="1" x14ac:dyDescent="0.15">
      <c r="A332" s="884">
        <v>312</v>
      </c>
      <c r="B332" s="972"/>
      <c r="C332" s="972"/>
      <c r="D332" s="972"/>
      <c r="E332" s="973"/>
      <c r="F332" s="973"/>
      <c r="G332" s="930"/>
      <c r="H332" s="987"/>
      <c r="I332" s="987"/>
      <c r="J332" s="930"/>
      <c r="K332" s="930"/>
      <c r="L332" s="988"/>
      <c r="M332" s="980"/>
      <c r="N332" s="991"/>
      <c r="O332" s="992"/>
      <c r="P332" s="980"/>
      <c r="Q332" s="980"/>
      <c r="R332" s="980"/>
      <c r="S332" s="982"/>
      <c r="T332" s="770" t="s">
        <v>39</v>
      </c>
      <c r="U332" s="770">
        <f>COUNTIF(D321:D340,"수")</f>
        <v>0</v>
      </c>
      <c r="V332" s="771">
        <f>COUNTIF(I321:I340,"수")</f>
        <v>0</v>
      </c>
      <c r="W332" s="770" t="s">
        <v>26</v>
      </c>
      <c r="X332" s="770">
        <f>SUMIF(D321:D340,"수",F321:F340)</f>
        <v>0</v>
      </c>
      <c r="Y332" s="771">
        <f>SUMIF(I321:I340,"수",K321:K340)</f>
        <v>0</v>
      </c>
      <c r="Z332" s="770">
        <f>COUNTIF(AJ321:AJ340,"수국")+COUNTIF(AJ321:AJ340,"수공")</f>
        <v>0</v>
      </c>
      <c r="AA332" s="771">
        <f>COUNTIF(AK321:AK340,"수국")+COUNTIF(AK321:AK340,"수공")</f>
        <v>0</v>
      </c>
      <c r="AB332" s="770" t="s">
        <v>26</v>
      </c>
      <c r="AC332" s="770">
        <f>SUMIF(AJ321:AJ340,"수국",F321:F340)+SUMIF(AJ321:AJ340,"수공",F321:F340)</f>
        <v>0</v>
      </c>
      <c r="AD332" s="771">
        <f>SUMIF(AK321:AK340,"수국",K321:K340)+SUMIF(AK321:AK340,"수공",K321:K340)</f>
        <v>0</v>
      </c>
      <c r="AE332" s="770">
        <f t="shared" si="99"/>
        <v>0</v>
      </c>
      <c r="AF332" s="771">
        <f t="shared" si="100"/>
        <v>0</v>
      </c>
      <c r="AG332" s="770" t="s">
        <v>26</v>
      </c>
      <c r="AH332" s="770">
        <f t="shared" si="101"/>
        <v>0</v>
      </c>
      <c r="AI332" s="771">
        <f t="shared" si="102"/>
        <v>0</v>
      </c>
      <c r="AJ332" s="770" t="str">
        <f t="shared" si="103"/>
        <v/>
      </c>
      <c r="AK332" s="770" t="str">
        <f t="shared" si="104"/>
        <v/>
      </c>
    </row>
    <row r="333" spans="1:37" s="773" customFormat="1" ht="24" hidden="1" customHeight="1" x14ac:dyDescent="0.15">
      <c r="A333" s="884">
        <v>313</v>
      </c>
      <c r="B333" s="972"/>
      <c r="C333" s="972"/>
      <c r="D333" s="972"/>
      <c r="E333" s="973"/>
      <c r="F333" s="973"/>
      <c r="G333" s="930"/>
      <c r="H333" s="987"/>
      <c r="I333" s="987"/>
      <c r="J333" s="930"/>
      <c r="K333" s="930"/>
      <c r="L333" s="988"/>
      <c r="M333" s="980"/>
      <c r="N333" s="991"/>
      <c r="O333" s="992"/>
      <c r="P333" s="980"/>
      <c r="Q333" s="980"/>
      <c r="R333" s="980"/>
      <c r="S333" s="982"/>
      <c r="T333" s="770" t="s">
        <v>35</v>
      </c>
      <c r="U333" s="770">
        <f>COUNTIF(D321:D340,"잡")</f>
        <v>0</v>
      </c>
      <c r="V333" s="771">
        <f>COUNTIF(I321:I340,"잡")</f>
        <v>0</v>
      </c>
      <c r="W333" s="770" t="s">
        <v>26</v>
      </c>
      <c r="X333" s="770">
        <f>SUMIF(D321:D340,"잡",F321:F340)</f>
        <v>0</v>
      </c>
      <c r="Y333" s="771">
        <f>SUMIF(I321:I340,"잡",K321:K340)</f>
        <v>0</v>
      </c>
      <c r="Z333" s="770">
        <f>COUNTIF(AJ321:AJ340,"잡국")+COUNTIF(AJ321:AJ340,"잡공")</f>
        <v>0</v>
      </c>
      <c r="AA333" s="771">
        <f>COUNTIF(AK321:AK340,"잡국")+COUNTIF(AK321:AK340,"잡공")</f>
        <v>0</v>
      </c>
      <c r="AB333" s="770" t="s">
        <v>26</v>
      </c>
      <c r="AC333" s="770">
        <f>SUMIF(AJ321:AJ340,"잡국",F321:F340)+SUMIF(AJ321:AJ340,"잡공",F321:F340)</f>
        <v>0</v>
      </c>
      <c r="AD333" s="771">
        <f>SUMIF(AK321:AK340,"잡국",K321:K340)+SUMIF(AK321:AK340,"잡공",K321:K340)</f>
        <v>0</v>
      </c>
      <c r="AE333" s="770">
        <f t="shared" si="99"/>
        <v>0</v>
      </c>
      <c r="AF333" s="771">
        <f t="shared" si="100"/>
        <v>0</v>
      </c>
      <c r="AG333" s="770" t="s">
        <v>26</v>
      </c>
      <c r="AH333" s="770">
        <f t="shared" si="101"/>
        <v>0</v>
      </c>
      <c r="AI333" s="771">
        <f t="shared" si="102"/>
        <v>0</v>
      </c>
      <c r="AJ333" s="770" t="str">
        <f t="shared" si="103"/>
        <v/>
      </c>
      <c r="AK333" s="770" t="str">
        <f t="shared" si="104"/>
        <v/>
      </c>
    </row>
    <row r="334" spans="1:37" s="773" customFormat="1" ht="24" hidden="1" customHeight="1" x14ac:dyDescent="0.15">
      <c r="A334" s="884">
        <v>314</v>
      </c>
      <c r="B334" s="972"/>
      <c r="C334" s="972"/>
      <c r="D334" s="972"/>
      <c r="E334" s="973"/>
      <c r="F334" s="973"/>
      <c r="G334" s="930"/>
      <c r="H334" s="987"/>
      <c r="I334" s="987"/>
      <c r="J334" s="930"/>
      <c r="K334" s="930"/>
      <c r="L334" s="988"/>
      <c r="M334" s="980"/>
      <c r="N334" s="991"/>
      <c r="O334" s="992"/>
      <c r="P334" s="980"/>
      <c r="Q334" s="980"/>
      <c r="R334" s="980"/>
      <c r="S334" s="982"/>
      <c r="T334" s="770" t="s">
        <v>51</v>
      </c>
      <c r="U334" s="770">
        <f>COUNTIF(D321:D340,"체")</f>
        <v>0</v>
      </c>
      <c r="V334" s="771">
        <f>COUNTIF(I321:I340,"체")</f>
        <v>0</v>
      </c>
      <c r="W334" s="770" t="s">
        <v>26</v>
      </c>
      <c r="X334" s="770">
        <f>SUMIF(D321:D340,"체",F321:F340)</f>
        <v>0</v>
      </c>
      <c r="Y334" s="771">
        <f>SUMIF(I321:I340,"체",K321:K340)</f>
        <v>0</v>
      </c>
      <c r="Z334" s="770">
        <f>COUNTIF(AJ321:AJ340,"체국")+COUNTIF(AJ321:AJ340,"체공")</f>
        <v>0</v>
      </c>
      <c r="AA334" s="771">
        <f>COUNTIF(AK321:AK340,"체국")+COUNTIF(AK321:AK340,"체공")</f>
        <v>0</v>
      </c>
      <c r="AB334" s="770" t="s">
        <v>26</v>
      </c>
      <c r="AC334" s="770">
        <f>SUMIF(AJ321:AJ340,"체국",F321:F340)+SUMIF(AJ321:AJ340,"체공",F321:F340)</f>
        <v>0</v>
      </c>
      <c r="AD334" s="771">
        <f>SUMIF(AK321:AK340,"체국",K321:K340)+SUMIF(AK321:AK340,"체공",K321:K340)</f>
        <v>0</v>
      </c>
      <c r="AE334" s="770">
        <f t="shared" si="99"/>
        <v>0</v>
      </c>
      <c r="AF334" s="771">
        <f t="shared" si="100"/>
        <v>0</v>
      </c>
      <c r="AG334" s="770" t="s">
        <v>26</v>
      </c>
      <c r="AH334" s="770">
        <f t="shared" si="101"/>
        <v>0</v>
      </c>
      <c r="AI334" s="771">
        <f t="shared" si="102"/>
        <v>0</v>
      </c>
      <c r="AJ334" s="770" t="str">
        <f t="shared" si="103"/>
        <v/>
      </c>
      <c r="AK334" s="770" t="str">
        <f t="shared" si="104"/>
        <v/>
      </c>
    </row>
    <row r="335" spans="1:37" s="773" customFormat="1" ht="24" hidden="1" customHeight="1" x14ac:dyDescent="0.15">
      <c r="A335" s="884">
        <v>315</v>
      </c>
      <c r="B335" s="972"/>
      <c r="C335" s="972"/>
      <c r="D335" s="972"/>
      <c r="E335" s="973"/>
      <c r="F335" s="973"/>
      <c r="G335" s="930"/>
      <c r="H335" s="987"/>
      <c r="I335" s="987"/>
      <c r="J335" s="930"/>
      <c r="K335" s="930"/>
      <c r="L335" s="988"/>
      <c r="M335" s="980"/>
      <c r="N335" s="991"/>
      <c r="O335" s="992"/>
      <c r="P335" s="980"/>
      <c r="Q335" s="980"/>
      <c r="R335" s="980"/>
      <c r="S335" s="982"/>
      <c r="T335" s="770" t="s">
        <v>50</v>
      </c>
      <c r="U335" s="770">
        <f>COUNTIF(D321:D340,"공")</f>
        <v>0</v>
      </c>
      <c r="V335" s="771">
        <f>COUNTIF(I321:I340,"공")</f>
        <v>0</v>
      </c>
      <c r="W335" s="770" t="s">
        <v>26</v>
      </c>
      <c r="X335" s="770">
        <f>SUMIF(D321:D340,"공",F321:F340)</f>
        <v>0</v>
      </c>
      <c r="Y335" s="771">
        <f>SUMIF(I321:I340,"공",K321:K340)</f>
        <v>0</v>
      </c>
      <c r="Z335" s="770">
        <f>COUNTIF(AJ321:AJ340,"공국")+COUNTIF(AJ321:AJ340,"공공")</f>
        <v>0</v>
      </c>
      <c r="AA335" s="771">
        <f>COUNTIF(AK321:AK340,"공국")+COUNTIF(AK321:AK340,"공공")</f>
        <v>0</v>
      </c>
      <c r="AB335" s="770" t="s">
        <v>26</v>
      </c>
      <c r="AC335" s="770">
        <f>SUMIF(AJ321:AJ340,"공국",F321:F340)+SUMIF(AJ321:AJ340,"공공",F321:F340)</f>
        <v>0</v>
      </c>
      <c r="AD335" s="771">
        <f>SUMIF(AK321:AK340,"공국",K321:K340)+SUMIF(AK321:AK340,"공공",K321:K340)</f>
        <v>0</v>
      </c>
      <c r="AE335" s="770">
        <f t="shared" si="99"/>
        <v>0</v>
      </c>
      <c r="AF335" s="771">
        <f t="shared" si="100"/>
        <v>0</v>
      </c>
      <c r="AG335" s="770" t="s">
        <v>26</v>
      </c>
      <c r="AH335" s="770">
        <f t="shared" si="101"/>
        <v>0</v>
      </c>
      <c r="AI335" s="771">
        <f t="shared" si="102"/>
        <v>0</v>
      </c>
      <c r="AJ335" s="770" t="str">
        <f t="shared" si="103"/>
        <v/>
      </c>
      <c r="AK335" s="770" t="str">
        <f t="shared" si="104"/>
        <v/>
      </c>
    </row>
    <row r="336" spans="1:37" s="773" customFormat="1" ht="24" hidden="1" customHeight="1" x14ac:dyDescent="0.15">
      <c r="A336" s="884">
        <v>316</v>
      </c>
      <c r="B336" s="972"/>
      <c r="C336" s="972"/>
      <c r="D336" s="972"/>
      <c r="E336" s="973"/>
      <c r="F336" s="973"/>
      <c r="G336" s="930"/>
      <c r="H336" s="987"/>
      <c r="I336" s="987"/>
      <c r="J336" s="930"/>
      <c r="K336" s="930"/>
      <c r="L336" s="988"/>
      <c r="M336" s="980"/>
      <c r="N336" s="991"/>
      <c r="O336" s="992"/>
      <c r="P336" s="980"/>
      <c r="Q336" s="980"/>
      <c r="R336" s="980"/>
      <c r="S336" s="982"/>
      <c r="T336" s="791" t="s">
        <v>40</v>
      </c>
      <c r="U336" s="770">
        <f>COUNTIF(D321:D340,"장")</f>
        <v>0</v>
      </c>
      <c r="V336" s="771">
        <f>COUNTIF(I321:I340,"장")</f>
        <v>0</v>
      </c>
      <c r="W336" s="770" t="s">
        <v>26</v>
      </c>
      <c r="X336" s="770">
        <f>SUMIF(D321:D340,"장",F321:F340)</f>
        <v>0</v>
      </c>
      <c r="Y336" s="771">
        <f>SUMIF(I321:I340,"장",K321:K340)</f>
        <v>0</v>
      </c>
      <c r="Z336" s="770">
        <f>COUNTIF(AJ321:AJ340,"장국")+COUNTIF(AJ321:AJ340,"장공")</f>
        <v>0</v>
      </c>
      <c r="AA336" s="771">
        <f>COUNTIF(AK321:AK340,"장국")+COUNTIF(AK321:AK340,"장공")</f>
        <v>0</v>
      </c>
      <c r="AB336" s="770" t="s">
        <v>26</v>
      </c>
      <c r="AC336" s="770">
        <f>SUMIF(AJ321:AJ340,"장국",F321:F340)+SUMIF(AJ321:AJ340,"장공",F321:F340)</f>
        <v>0</v>
      </c>
      <c r="AD336" s="771">
        <f>SUMIF(AK321:AK340,"장국",K321:K340)+SUMIF(AK321:AK340,"장공",K321:K340)</f>
        <v>0</v>
      </c>
      <c r="AE336" s="770">
        <f t="shared" si="99"/>
        <v>0</v>
      </c>
      <c r="AF336" s="771">
        <f t="shared" si="100"/>
        <v>0</v>
      </c>
      <c r="AG336" s="770" t="s">
        <v>26</v>
      </c>
      <c r="AH336" s="770">
        <f t="shared" si="101"/>
        <v>0</v>
      </c>
      <c r="AI336" s="771">
        <f t="shared" si="102"/>
        <v>0</v>
      </c>
      <c r="AJ336" s="770" t="str">
        <f t="shared" si="103"/>
        <v/>
      </c>
      <c r="AK336" s="770" t="str">
        <f t="shared" si="104"/>
        <v/>
      </c>
    </row>
    <row r="337" spans="1:38" s="773" customFormat="1" ht="24" hidden="1" customHeight="1" x14ac:dyDescent="0.15">
      <c r="A337" s="884">
        <v>317</v>
      </c>
      <c r="B337" s="972"/>
      <c r="C337" s="972"/>
      <c r="D337" s="972"/>
      <c r="E337" s="973"/>
      <c r="F337" s="973"/>
      <c r="G337" s="930"/>
      <c r="H337" s="987"/>
      <c r="I337" s="987"/>
      <c r="J337" s="930"/>
      <c r="K337" s="930"/>
      <c r="L337" s="988"/>
      <c r="M337" s="980"/>
      <c r="N337" s="991"/>
      <c r="O337" s="992"/>
      <c r="P337" s="980"/>
      <c r="Q337" s="980"/>
      <c r="R337" s="980"/>
      <c r="S337" s="982"/>
      <c r="T337" s="791" t="s">
        <v>5</v>
      </c>
      <c r="U337" s="770">
        <f>COUNTIF(D321:D340,"목")</f>
        <v>0</v>
      </c>
      <c r="V337" s="771">
        <f>COUNTIF(I321:I340,"목")</f>
        <v>0</v>
      </c>
      <c r="W337" s="770" t="s">
        <v>26</v>
      </c>
      <c r="X337" s="770">
        <f>SUMIF(D321:D340,"목",F321:F340)</f>
        <v>0</v>
      </c>
      <c r="Y337" s="771">
        <f>SUMIF(I321:I340,"목",K321:K340)</f>
        <v>0</v>
      </c>
      <c r="Z337" s="770">
        <f>COUNTIF(AJ321:AJ340,"목국")+COUNTIF(AJ321:AJ340,"목공")</f>
        <v>0</v>
      </c>
      <c r="AA337" s="771">
        <f>COUNTIF(AK321:AK340,"목국")+COUNTIF(AK321:AK340,"목공")</f>
        <v>0</v>
      </c>
      <c r="AB337" s="770" t="s">
        <v>26</v>
      </c>
      <c r="AC337" s="770">
        <f>SUMIF(AJ321:AJ340,"목국",F321:F340)+SUMIF(AJ321:AJ340,"목공",F321:F340)</f>
        <v>0</v>
      </c>
      <c r="AD337" s="771">
        <f>SUMIF(AK321:AK340,"목국",K321:K340)+SUMIF(AK321:AK340,"목공",K321:K340)</f>
        <v>0</v>
      </c>
      <c r="AE337" s="770">
        <f t="shared" si="99"/>
        <v>0</v>
      </c>
      <c r="AF337" s="771">
        <f t="shared" si="100"/>
        <v>0</v>
      </c>
      <c r="AG337" s="770" t="s">
        <v>26</v>
      </c>
      <c r="AH337" s="770">
        <f t="shared" si="101"/>
        <v>0</v>
      </c>
      <c r="AI337" s="771">
        <f t="shared" si="102"/>
        <v>0</v>
      </c>
      <c r="AJ337" s="770" t="str">
        <f t="shared" si="103"/>
        <v/>
      </c>
      <c r="AK337" s="770" t="str">
        <f t="shared" si="104"/>
        <v/>
      </c>
    </row>
    <row r="338" spans="1:38" s="773" customFormat="1" ht="24" hidden="1" customHeight="1" x14ac:dyDescent="0.15">
      <c r="A338" s="884">
        <v>318</v>
      </c>
      <c r="B338" s="972"/>
      <c r="C338" s="972"/>
      <c r="D338" s="972"/>
      <c r="E338" s="973"/>
      <c r="F338" s="973"/>
      <c r="G338" s="930"/>
      <c r="H338" s="987"/>
      <c r="I338" s="987"/>
      <c r="J338" s="930"/>
      <c r="K338" s="930"/>
      <c r="L338" s="988"/>
      <c r="M338" s="980"/>
      <c r="N338" s="991"/>
      <c r="O338" s="992"/>
      <c r="P338" s="980"/>
      <c r="Q338" s="980"/>
      <c r="R338" s="980"/>
      <c r="S338" s="982"/>
      <c r="T338" s="791"/>
      <c r="U338" s="791"/>
      <c r="V338" s="792"/>
      <c r="W338" s="791"/>
      <c r="X338" s="791"/>
      <c r="Y338" s="792"/>
      <c r="Z338" s="770"/>
      <c r="AA338" s="771"/>
      <c r="AB338" s="791"/>
      <c r="AC338" s="770"/>
      <c r="AD338" s="771"/>
      <c r="AE338" s="791"/>
      <c r="AF338" s="792"/>
      <c r="AG338" s="791"/>
      <c r="AH338" s="791"/>
      <c r="AI338" s="792"/>
      <c r="AJ338" s="770" t="str">
        <f t="shared" si="103"/>
        <v/>
      </c>
      <c r="AK338" s="770" t="str">
        <f t="shared" si="104"/>
        <v/>
      </c>
    </row>
    <row r="339" spans="1:38" s="773" customFormat="1" ht="24" hidden="1" customHeight="1" x14ac:dyDescent="0.15">
      <c r="A339" s="884">
        <v>319</v>
      </c>
      <c r="B339" s="972"/>
      <c r="C339" s="972"/>
      <c r="D339" s="972"/>
      <c r="E339" s="973"/>
      <c r="F339" s="973"/>
      <c r="G339" s="930"/>
      <c r="H339" s="987"/>
      <c r="I339" s="987"/>
      <c r="J339" s="930"/>
      <c r="K339" s="930"/>
      <c r="L339" s="988"/>
      <c r="M339" s="980"/>
      <c r="N339" s="991"/>
      <c r="O339" s="992"/>
      <c r="P339" s="980"/>
      <c r="Q339" s="980"/>
      <c r="R339" s="980"/>
      <c r="S339" s="1006"/>
      <c r="T339" s="791"/>
      <c r="U339" s="791"/>
      <c r="V339" s="792"/>
      <c r="W339" s="791"/>
      <c r="X339" s="791"/>
      <c r="Y339" s="792"/>
      <c r="Z339" s="770"/>
      <c r="AA339" s="771"/>
      <c r="AB339" s="791"/>
      <c r="AC339" s="770"/>
      <c r="AD339" s="771"/>
      <c r="AE339" s="791"/>
      <c r="AF339" s="792"/>
      <c r="AG339" s="791"/>
      <c r="AH339" s="791"/>
      <c r="AI339" s="792"/>
      <c r="AJ339" s="770" t="str">
        <f t="shared" si="103"/>
        <v/>
      </c>
      <c r="AK339" s="770" t="str">
        <f t="shared" si="104"/>
        <v/>
      </c>
    </row>
    <row r="340" spans="1:38" s="773" customFormat="1" ht="24" hidden="1" customHeight="1" x14ac:dyDescent="0.15">
      <c r="A340" s="884">
        <v>320</v>
      </c>
      <c r="B340" s="972"/>
      <c r="C340" s="972"/>
      <c r="D340" s="972"/>
      <c r="E340" s="973"/>
      <c r="F340" s="973"/>
      <c r="G340" s="930"/>
      <c r="H340" s="987"/>
      <c r="I340" s="987"/>
      <c r="J340" s="930"/>
      <c r="K340" s="930"/>
      <c r="L340" s="988"/>
      <c r="M340" s="980"/>
      <c r="N340" s="991"/>
      <c r="O340" s="992"/>
      <c r="P340" s="980"/>
      <c r="Q340" s="980"/>
      <c r="R340" s="980"/>
      <c r="S340" s="1006"/>
      <c r="T340" s="794" t="s">
        <v>37</v>
      </c>
      <c r="U340" s="794">
        <f>COUNTIF(D321:D340,"철")</f>
        <v>0</v>
      </c>
      <c r="V340" s="795">
        <f>COUNTIF(I321:I340,"철")</f>
        <v>0</v>
      </c>
      <c r="W340" s="794" t="s">
        <v>26</v>
      </c>
      <c r="X340" s="794">
        <f>SUMIF(D321:D340,"철",F321:F340)</f>
        <v>0</v>
      </c>
      <c r="Y340" s="795">
        <f>SUMIF(I321:I340,"철",K321:K340)</f>
        <v>0</v>
      </c>
      <c r="Z340" s="770">
        <f>COUNTIF(AJ321:AJ340,"철국")+COUNTIF(AJ321:AJ340,"철공")</f>
        <v>0</v>
      </c>
      <c r="AA340" s="771">
        <f>COUNTIF(AK321:AK340,"철국")+COUNTIF(AK321:AK340,"철공")</f>
        <v>0</v>
      </c>
      <c r="AB340" s="794" t="s">
        <v>26</v>
      </c>
      <c r="AC340" s="770">
        <f>SUMIF(AJ321:AJ340,"철국",F321:F340)+SUMIF(AJ321:AJ340,"철공",F321:F340)</f>
        <v>0</v>
      </c>
      <c r="AD340" s="771">
        <f>SUMIF(AK321:AK340,"철국",K321:K340)+SUMIF(AK321:AK340,"철공",K321:K340)</f>
        <v>0</v>
      </c>
      <c r="AE340" s="794"/>
      <c r="AF340" s="795"/>
      <c r="AG340" s="794"/>
      <c r="AH340" s="794"/>
      <c r="AI340" s="795"/>
      <c r="AJ340" s="770" t="str">
        <f t="shared" si="103"/>
        <v/>
      </c>
      <c r="AK340" s="770" t="str">
        <f t="shared" si="104"/>
        <v/>
      </c>
    </row>
    <row r="341" spans="1:38" s="773" customFormat="1" ht="24" hidden="1" customHeight="1" thickBot="1" x14ac:dyDescent="0.2">
      <c r="A341" s="1082" t="s">
        <v>48</v>
      </c>
      <c r="B341" s="1083"/>
      <c r="C341" s="1083"/>
      <c r="D341" s="1083"/>
      <c r="E341" s="1084"/>
      <c r="F341" s="798">
        <f>SUM(F321:F340)</f>
        <v>0</v>
      </c>
      <c r="G341" s="993"/>
      <c r="H341" s="994"/>
      <c r="I341" s="994"/>
      <c r="J341" s="993"/>
      <c r="K341" s="971">
        <f>SUM(K321:K340)</f>
        <v>0</v>
      </c>
      <c r="L341" s="995"/>
      <c r="M341" s="996"/>
      <c r="N341" s="997"/>
      <c r="O341" s="998"/>
      <c r="P341" s="996"/>
      <c r="Q341" s="996"/>
      <c r="R341" s="996"/>
      <c r="S341" s="999"/>
      <c r="T341" s="806" t="s">
        <v>24</v>
      </c>
      <c r="U341" s="807">
        <f t="shared" ref="U341:AA341" si="105">SUM(U321:U340)</f>
        <v>0</v>
      </c>
      <c r="V341" s="807">
        <f t="shared" si="105"/>
        <v>0</v>
      </c>
      <c r="W341" s="807">
        <f t="shared" si="105"/>
        <v>0</v>
      </c>
      <c r="X341" s="807">
        <f t="shared" si="105"/>
        <v>0</v>
      </c>
      <c r="Y341" s="807">
        <f t="shared" si="105"/>
        <v>0</v>
      </c>
      <c r="Z341" s="822">
        <f t="shared" si="105"/>
        <v>0</v>
      </c>
      <c r="AA341" s="823">
        <f t="shared" si="105"/>
        <v>0</v>
      </c>
      <c r="AB341" s="822" t="s">
        <v>26</v>
      </c>
      <c r="AC341" s="822">
        <f>SUM(AC321:AC340)</f>
        <v>0</v>
      </c>
      <c r="AD341" s="823">
        <f>SUM(AD321:AD340)</f>
        <v>0</v>
      </c>
      <c r="AE341" s="807">
        <f>SUM(AE321:AE340)</f>
        <v>0</v>
      </c>
      <c r="AF341" s="807">
        <f>SUM(AF321:AF340)</f>
        <v>0</v>
      </c>
      <c r="AG341" s="807" t="s">
        <v>26</v>
      </c>
      <c r="AH341" s="807">
        <f>SUM(AH321:AH340)</f>
        <v>0</v>
      </c>
      <c r="AI341" s="807">
        <f>SUM(AI321:AI340)</f>
        <v>0</v>
      </c>
      <c r="AJ341" s="807"/>
      <c r="AK341" s="755"/>
      <c r="AL341" s="772"/>
    </row>
    <row r="342" spans="1:38" s="773" customFormat="1" ht="24" hidden="1" customHeight="1" x14ac:dyDescent="0.15">
      <c r="A342" s="877">
        <v>321</v>
      </c>
      <c r="B342" s="983"/>
      <c r="C342" s="983"/>
      <c r="D342" s="983"/>
      <c r="E342" s="984"/>
      <c r="F342" s="984"/>
      <c r="G342" s="939"/>
      <c r="H342" s="1000"/>
      <c r="I342" s="1000"/>
      <c r="J342" s="939"/>
      <c r="K342" s="939"/>
      <c r="L342" s="1001"/>
      <c r="M342" s="985"/>
      <c r="N342" s="1002"/>
      <c r="O342" s="1003"/>
      <c r="P342" s="985"/>
      <c r="Q342" s="985"/>
      <c r="R342" s="985"/>
      <c r="S342" s="986"/>
      <c r="T342" s="770" t="s">
        <v>27</v>
      </c>
      <c r="U342" s="770">
        <f>COUNTIF(D342:D361,"전")</f>
        <v>0</v>
      </c>
      <c r="V342" s="771">
        <f>COUNTIF(I342:I361,"전")</f>
        <v>0</v>
      </c>
      <c r="W342" s="770" t="s">
        <v>26</v>
      </c>
      <c r="X342" s="770">
        <f>SUMIF(D342:D361,"전",F342:F361)</f>
        <v>0</v>
      </c>
      <c r="Y342" s="771">
        <f>SUMIF(I342:I361,"전",K342:K361)</f>
        <v>0</v>
      </c>
      <c r="Z342" s="770">
        <f>COUNTIF(AJ342:AJ361,"전국")+COUNTIF(AJ342:AJ361,"전공")</f>
        <v>0</v>
      </c>
      <c r="AA342" s="771">
        <f>COUNTIF(AK342:AK361,"전국")+COUNTIF(AK342:AK361,"전공")</f>
        <v>0</v>
      </c>
      <c r="AB342" s="770" t="s">
        <v>26</v>
      </c>
      <c r="AC342" s="770">
        <f>SUMIF(AJ342:AJ361,"전국",F342:F361)+SUMIF(AJ342:AJ361,"전공",F342:F361)</f>
        <v>0</v>
      </c>
      <c r="AD342" s="771">
        <f>SUMIF(AK342:AK361,"전국",K342:K361)+SUMIF(AK342:AK361,"전공",K342:K361)</f>
        <v>0</v>
      </c>
      <c r="AE342" s="770">
        <f t="shared" ref="AE342:AE358" si="106">U342-Z342</f>
        <v>0</v>
      </c>
      <c r="AF342" s="771">
        <f t="shared" ref="AF342:AF358" si="107">V342-AA342</f>
        <v>0</v>
      </c>
      <c r="AG342" s="770" t="s">
        <v>26</v>
      </c>
      <c r="AH342" s="770">
        <f t="shared" ref="AH342:AH358" si="108">X342-AC342</f>
        <v>0</v>
      </c>
      <c r="AI342" s="771">
        <f t="shared" ref="AI342:AI358" si="109">Y342-AD342</f>
        <v>0</v>
      </c>
      <c r="AJ342" s="770" t="str">
        <f t="shared" ref="AJ342:AJ361" si="110">CONCATENATE(D342,L342)</f>
        <v/>
      </c>
      <c r="AK342" s="770" t="str">
        <f t="shared" ref="AK342:AK361" si="111">CONCATENATE(I342,L342)</f>
        <v/>
      </c>
    </row>
    <row r="343" spans="1:38" s="773" customFormat="1" ht="24" hidden="1" customHeight="1" x14ac:dyDescent="0.15">
      <c r="A343" s="884">
        <v>322</v>
      </c>
      <c r="B343" s="972"/>
      <c r="C343" s="972"/>
      <c r="D343" s="972"/>
      <c r="E343" s="973"/>
      <c r="F343" s="973"/>
      <c r="G343" s="930"/>
      <c r="H343" s="987"/>
      <c r="I343" s="987"/>
      <c r="J343" s="930"/>
      <c r="K343" s="930"/>
      <c r="L343" s="988"/>
      <c r="M343" s="980"/>
      <c r="N343" s="991"/>
      <c r="O343" s="992"/>
      <c r="P343" s="980"/>
      <c r="Q343" s="980"/>
      <c r="R343" s="980"/>
      <c r="S343" s="982"/>
      <c r="T343" s="770" t="s">
        <v>28</v>
      </c>
      <c r="U343" s="770">
        <f>COUNTIF(D342:D361,"답")</f>
        <v>0</v>
      </c>
      <c r="V343" s="771">
        <f>COUNTIF(I342:I361,"답")</f>
        <v>0</v>
      </c>
      <c r="W343" s="770" t="s">
        <v>26</v>
      </c>
      <c r="X343" s="770">
        <f>SUMIF(D342:D361,"답",F342:F361)</f>
        <v>0</v>
      </c>
      <c r="Y343" s="771">
        <f>SUMIF(I342:I361,"답",K342:K361)</f>
        <v>0</v>
      </c>
      <c r="Z343" s="770">
        <f>COUNTIF(AJ342:AJ361,"답국")+COUNTIF(AJ342:AJ361,"답공")</f>
        <v>0</v>
      </c>
      <c r="AA343" s="771">
        <f>COUNTIF(AK342:AK361,"답국")+COUNTIF(AK342:AK361,"답공")</f>
        <v>0</v>
      </c>
      <c r="AB343" s="770" t="s">
        <v>26</v>
      </c>
      <c r="AC343" s="770">
        <f>SUMIF(AJ342:AJ361,"답국",F342:F361)+SUMIF(AJ342:AJ361,"답공",F342:F361)</f>
        <v>0</v>
      </c>
      <c r="AD343" s="771">
        <f>SUMIF(AK342:AK361,"답국",K342:K361)+SUMIF(AK342:AK361,"답공",K342:K361)</f>
        <v>0</v>
      </c>
      <c r="AE343" s="770">
        <f t="shared" si="106"/>
        <v>0</v>
      </c>
      <c r="AF343" s="771">
        <f t="shared" si="107"/>
        <v>0</v>
      </c>
      <c r="AG343" s="770" t="s">
        <v>26</v>
      </c>
      <c r="AH343" s="770">
        <f t="shared" si="108"/>
        <v>0</v>
      </c>
      <c r="AI343" s="771">
        <f t="shared" si="109"/>
        <v>0</v>
      </c>
      <c r="AJ343" s="770" t="str">
        <f t="shared" si="110"/>
        <v/>
      </c>
      <c r="AK343" s="770" t="str">
        <f t="shared" si="111"/>
        <v/>
      </c>
    </row>
    <row r="344" spans="1:38" s="773" customFormat="1" ht="24" hidden="1" customHeight="1" x14ac:dyDescent="0.15">
      <c r="A344" s="884">
        <v>323</v>
      </c>
      <c r="B344" s="972"/>
      <c r="C344" s="972"/>
      <c r="D344" s="972"/>
      <c r="E344" s="973"/>
      <c r="F344" s="973"/>
      <c r="G344" s="930"/>
      <c r="H344" s="987"/>
      <c r="I344" s="987"/>
      <c r="J344" s="930"/>
      <c r="K344" s="930"/>
      <c r="L344" s="988"/>
      <c r="M344" s="980"/>
      <c r="N344" s="991"/>
      <c r="O344" s="992"/>
      <c r="P344" s="980"/>
      <c r="Q344" s="980"/>
      <c r="R344" s="980"/>
      <c r="S344" s="1006"/>
      <c r="T344" s="770" t="s">
        <v>44</v>
      </c>
      <c r="U344" s="770">
        <f>COUNTIF(D342:D361,"임")</f>
        <v>0</v>
      </c>
      <c r="V344" s="771">
        <f>COUNTIF(I342:I361,"임")</f>
        <v>0</v>
      </c>
      <c r="W344" s="770" t="s">
        <v>26</v>
      </c>
      <c r="X344" s="770">
        <f>SUMIF(D342:D361,"임",F342:F361)</f>
        <v>0</v>
      </c>
      <c r="Y344" s="771">
        <f>SUMIF(I342:I361,"임",K342:K361)</f>
        <v>0</v>
      </c>
      <c r="Z344" s="770">
        <f>COUNTIF(AJ342:AJ361,"임국")+COUNTIF(AJ342:AJ361,"임공")</f>
        <v>0</v>
      </c>
      <c r="AA344" s="771">
        <f>COUNTIF(AK342:AK361,"임국")+COUNTIF(AK342:AK361,"임공")</f>
        <v>0</v>
      </c>
      <c r="AB344" s="770" t="s">
        <v>26</v>
      </c>
      <c r="AC344" s="770">
        <f>SUMIF(AJ342:AJ361,"임국",F342:F361)+SUMIF(AJ342:AJ361,"임공",F342:F361)</f>
        <v>0</v>
      </c>
      <c r="AD344" s="771">
        <f>SUMIF(AK342:AK361,"임국",K342:K361)+SUMIF(AK342:AK361,"임공",K342:K361)</f>
        <v>0</v>
      </c>
      <c r="AE344" s="770">
        <f t="shared" si="106"/>
        <v>0</v>
      </c>
      <c r="AF344" s="771">
        <f t="shared" si="107"/>
        <v>0</v>
      </c>
      <c r="AG344" s="770" t="s">
        <v>26</v>
      </c>
      <c r="AH344" s="770">
        <f t="shared" si="108"/>
        <v>0</v>
      </c>
      <c r="AI344" s="771">
        <f t="shared" si="109"/>
        <v>0</v>
      </c>
      <c r="AJ344" s="770" t="str">
        <f t="shared" si="110"/>
        <v/>
      </c>
      <c r="AK344" s="770" t="str">
        <f t="shared" si="111"/>
        <v/>
      </c>
    </row>
    <row r="345" spans="1:38" s="773" customFormat="1" ht="24" hidden="1" customHeight="1" x14ac:dyDescent="0.15">
      <c r="A345" s="884">
        <v>324</v>
      </c>
      <c r="B345" s="972"/>
      <c r="C345" s="972"/>
      <c r="D345" s="972"/>
      <c r="E345" s="973"/>
      <c r="F345" s="973"/>
      <c r="G345" s="930"/>
      <c r="H345" s="987"/>
      <c r="I345" s="987"/>
      <c r="J345" s="930"/>
      <c r="K345" s="930"/>
      <c r="L345" s="988"/>
      <c r="M345" s="980"/>
      <c r="N345" s="991"/>
      <c r="O345" s="992"/>
      <c r="P345" s="980"/>
      <c r="Q345" s="980"/>
      <c r="R345" s="980"/>
      <c r="S345" s="982"/>
      <c r="T345" s="770" t="s">
        <v>45</v>
      </c>
      <c r="U345" s="770">
        <f>COUNTIF(D342:D361,"대")</f>
        <v>0</v>
      </c>
      <c r="V345" s="771">
        <f>COUNTIF(I342:I361,"대")</f>
        <v>0</v>
      </c>
      <c r="W345" s="770" t="s">
        <v>26</v>
      </c>
      <c r="X345" s="770">
        <f>SUMIF(D342:D361,"대",F342:F361)</f>
        <v>0</v>
      </c>
      <c r="Y345" s="771">
        <f>SUMIF(I342:I361,"대",K342:K361)</f>
        <v>0</v>
      </c>
      <c r="Z345" s="770">
        <f>COUNTIF(AJ342:AJ361,"대국")+COUNTIF(AJ342:AJ361,"대공")</f>
        <v>0</v>
      </c>
      <c r="AA345" s="771">
        <f>COUNTIF(AK342:AK361,"대국")+COUNTIF(AK342:AK361,"대공")</f>
        <v>0</v>
      </c>
      <c r="AB345" s="770" t="s">
        <v>26</v>
      </c>
      <c r="AC345" s="770">
        <f>SUMIF(AJ342:AJ361,"대국",F342:F361)+SUMIF(AJ342:AJ361,"대공",F342:F361)</f>
        <v>0</v>
      </c>
      <c r="AD345" s="771">
        <f>SUMIF(AK342:AK361,"대국",K342:K361)+SUMIF(AK342:AK361,"대공",K342:K361)</f>
        <v>0</v>
      </c>
      <c r="AE345" s="770">
        <f t="shared" si="106"/>
        <v>0</v>
      </c>
      <c r="AF345" s="771">
        <f t="shared" si="107"/>
        <v>0</v>
      </c>
      <c r="AG345" s="770" t="s">
        <v>26</v>
      </c>
      <c r="AH345" s="770">
        <f t="shared" si="108"/>
        <v>0</v>
      </c>
      <c r="AI345" s="771">
        <f t="shared" si="109"/>
        <v>0</v>
      </c>
      <c r="AJ345" s="770" t="str">
        <f t="shared" si="110"/>
        <v/>
      </c>
      <c r="AK345" s="770" t="str">
        <f t="shared" si="111"/>
        <v/>
      </c>
    </row>
    <row r="346" spans="1:38" s="773" customFormat="1" ht="24" hidden="1" customHeight="1" x14ac:dyDescent="0.15">
      <c r="A346" s="884">
        <v>325</v>
      </c>
      <c r="B346" s="972"/>
      <c r="C346" s="972"/>
      <c r="D346" s="972"/>
      <c r="E346" s="973"/>
      <c r="F346" s="973"/>
      <c r="G346" s="930"/>
      <c r="H346" s="987"/>
      <c r="I346" s="987"/>
      <c r="J346" s="930"/>
      <c r="K346" s="930"/>
      <c r="L346" s="988"/>
      <c r="M346" s="980"/>
      <c r="N346" s="991"/>
      <c r="O346" s="992"/>
      <c r="P346" s="980"/>
      <c r="Q346" s="980"/>
      <c r="R346" s="980"/>
      <c r="S346" s="982"/>
      <c r="T346" s="770" t="s">
        <v>31</v>
      </c>
      <c r="U346" s="770">
        <f>COUNTIF(D342:D361,"도")</f>
        <v>0</v>
      </c>
      <c r="V346" s="771">
        <f>COUNTIF(I342:I361,"도")</f>
        <v>0</v>
      </c>
      <c r="W346" s="770" t="s">
        <v>26</v>
      </c>
      <c r="X346" s="770">
        <f>SUMIF(D342:D361,"도",F342:F361)</f>
        <v>0</v>
      </c>
      <c r="Y346" s="771">
        <f>SUMIF(I342:I361,"도",K342:K361)</f>
        <v>0</v>
      </c>
      <c r="Z346" s="770">
        <f>COUNTIF(AJ342:AJ361,"도국")+COUNTIF(AJ342:AJ361,"도공")</f>
        <v>0</v>
      </c>
      <c r="AA346" s="771">
        <f>COUNTIF(AK342:AK361,"도국")+COUNTIF(AK342:AK361,"도공")</f>
        <v>0</v>
      </c>
      <c r="AB346" s="770" t="s">
        <v>26</v>
      </c>
      <c r="AC346" s="770">
        <f>SUMIF(AJ342:AJ361,"도국",F342:F361)+SUMIF(AJ342:AJ361,"도공",F342:F361)</f>
        <v>0</v>
      </c>
      <c r="AD346" s="771">
        <f>SUMIF(AK342:AK361,"도국",K342:K361)+SUMIF(AK342:AK361,"도공",K342:K361)</f>
        <v>0</v>
      </c>
      <c r="AE346" s="770">
        <f t="shared" si="106"/>
        <v>0</v>
      </c>
      <c r="AF346" s="771">
        <f t="shared" si="107"/>
        <v>0</v>
      </c>
      <c r="AG346" s="770" t="s">
        <v>26</v>
      </c>
      <c r="AH346" s="770">
        <f t="shared" si="108"/>
        <v>0</v>
      </c>
      <c r="AI346" s="771">
        <f t="shared" si="109"/>
        <v>0</v>
      </c>
      <c r="AJ346" s="770" t="str">
        <f t="shared" si="110"/>
        <v/>
      </c>
      <c r="AK346" s="770" t="str">
        <f t="shared" si="111"/>
        <v/>
      </c>
    </row>
    <row r="347" spans="1:38" s="773" customFormat="1" ht="24" hidden="1" customHeight="1" x14ac:dyDescent="0.15">
      <c r="A347" s="884">
        <v>326</v>
      </c>
      <c r="B347" s="972"/>
      <c r="C347" s="972"/>
      <c r="D347" s="972"/>
      <c r="E347" s="973"/>
      <c r="F347" s="973"/>
      <c r="G347" s="930"/>
      <c r="H347" s="987"/>
      <c r="I347" s="987"/>
      <c r="J347" s="930"/>
      <c r="K347" s="930"/>
      <c r="L347" s="988"/>
      <c r="M347" s="1004"/>
      <c r="N347" s="991"/>
      <c r="O347" s="992"/>
      <c r="P347" s="980"/>
      <c r="Q347" s="980"/>
      <c r="R347" s="980"/>
      <c r="S347" s="982"/>
      <c r="T347" s="770" t="s">
        <v>32</v>
      </c>
      <c r="U347" s="786">
        <f>COUNTIF(D342:D361,"천")</f>
        <v>0</v>
      </c>
      <c r="V347" s="787">
        <f>COUNTIF(I342:I361,"천")</f>
        <v>0</v>
      </c>
      <c r="W347" s="770" t="s">
        <v>26</v>
      </c>
      <c r="X347" s="770">
        <f>SUMIF(D342:D361,"천",F342:F361)</f>
        <v>0</v>
      </c>
      <c r="Y347" s="771">
        <f>SUMIF(I342:I361,"천",K342:K361)</f>
        <v>0</v>
      </c>
      <c r="Z347" s="770">
        <f>COUNTIF(AJ342:AJ361,"천국")+COUNTIF(AJ342:AJ361,"천공")</f>
        <v>0</v>
      </c>
      <c r="AA347" s="771">
        <f>COUNTIF(AK342:AK361,"천국")+COUNTIF(AK342:AK361,"천공")</f>
        <v>0</v>
      </c>
      <c r="AB347" s="770" t="s">
        <v>26</v>
      </c>
      <c r="AC347" s="770">
        <f>SUMIF(AJ342:AJ361,"천국",F342:F361)+SUMIF(AJ342:AJ361,"천공",F342:F361)</f>
        <v>0</v>
      </c>
      <c r="AD347" s="771">
        <f>SUMIF(AK342:AK361,"천국",K342:K361)+SUMIF(AK342:AK361,"천공",K342:K361)</f>
        <v>0</v>
      </c>
      <c r="AE347" s="770">
        <f t="shared" si="106"/>
        <v>0</v>
      </c>
      <c r="AF347" s="771">
        <f t="shared" si="107"/>
        <v>0</v>
      </c>
      <c r="AG347" s="770" t="s">
        <v>26</v>
      </c>
      <c r="AH347" s="770">
        <f t="shared" si="108"/>
        <v>0</v>
      </c>
      <c r="AI347" s="771">
        <f t="shared" si="109"/>
        <v>0</v>
      </c>
      <c r="AJ347" s="770" t="str">
        <f t="shared" si="110"/>
        <v/>
      </c>
      <c r="AK347" s="770" t="str">
        <f t="shared" si="111"/>
        <v/>
      </c>
    </row>
    <row r="348" spans="1:38" s="773" customFormat="1" ht="24" hidden="1" customHeight="1" x14ac:dyDescent="0.15">
      <c r="A348" s="884">
        <v>327</v>
      </c>
      <c r="B348" s="972"/>
      <c r="C348" s="972"/>
      <c r="D348" s="972"/>
      <c r="E348" s="973"/>
      <c r="F348" s="973"/>
      <c r="G348" s="930"/>
      <c r="H348" s="987"/>
      <c r="I348" s="987"/>
      <c r="J348" s="930"/>
      <c r="K348" s="930"/>
      <c r="L348" s="988"/>
      <c r="M348" s="980"/>
      <c r="N348" s="991"/>
      <c r="O348" s="992"/>
      <c r="P348" s="980"/>
      <c r="Q348" s="980"/>
      <c r="R348" s="980"/>
      <c r="S348" s="982"/>
      <c r="T348" s="770" t="s">
        <v>33</v>
      </c>
      <c r="U348" s="770">
        <f>COUNTIF(D342:D361,"구")</f>
        <v>0</v>
      </c>
      <c r="V348" s="771">
        <f>COUNTIF(I342:I361,"구")</f>
        <v>0</v>
      </c>
      <c r="W348" s="770" t="s">
        <v>26</v>
      </c>
      <c r="X348" s="770">
        <f>SUMIF(D342:D361,"구",F342:F361)</f>
        <v>0</v>
      </c>
      <c r="Y348" s="771">
        <f>SUMIF(I342:I361,"구",K342:K361)</f>
        <v>0</v>
      </c>
      <c r="Z348" s="770">
        <f>COUNTIF(AJ342:AJ361,"구국")+COUNTIF(AJ342:AJ361,"구공")</f>
        <v>0</v>
      </c>
      <c r="AA348" s="771">
        <f>COUNTIF(AK342:AK361,"구국")+COUNTIF(AK342:AK361,"구공")</f>
        <v>0</v>
      </c>
      <c r="AB348" s="770" t="s">
        <v>26</v>
      </c>
      <c r="AC348" s="770">
        <f>SUMIF(AJ342:AJ361,"구국",F342:F361)+SUMIF(AJ342:AJ361,"구공",F342:F361)</f>
        <v>0</v>
      </c>
      <c r="AD348" s="771">
        <f>SUMIF(AK342:AK361,"구국",K342:K361)+SUMIF(AK342:AK361,"구공",K342:K361)</f>
        <v>0</v>
      </c>
      <c r="AE348" s="770">
        <f t="shared" si="106"/>
        <v>0</v>
      </c>
      <c r="AF348" s="771">
        <f t="shared" si="107"/>
        <v>0</v>
      </c>
      <c r="AG348" s="770" t="s">
        <v>26</v>
      </c>
      <c r="AH348" s="770">
        <f t="shared" si="108"/>
        <v>0</v>
      </c>
      <c r="AI348" s="771">
        <f t="shared" si="109"/>
        <v>0</v>
      </c>
      <c r="AJ348" s="770" t="str">
        <f t="shared" si="110"/>
        <v/>
      </c>
      <c r="AK348" s="770" t="str">
        <f t="shared" si="111"/>
        <v/>
      </c>
    </row>
    <row r="349" spans="1:38" s="773" customFormat="1" ht="24" hidden="1" customHeight="1" x14ac:dyDescent="0.15">
      <c r="A349" s="884">
        <v>328</v>
      </c>
      <c r="B349" s="972"/>
      <c r="C349" s="972"/>
      <c r="D349" s="972"/>
      <c r="E349" s="973"/>
      <c r="F349" s="973"/>
      <c r="G349" s="930"/>
      <c r="H349" s="987"/>
      <c r="I349" s="987"/>
      <c r="J349" s="930"/>
      <c r="K349" s="930"/>
      <c r="L349" s="988"/>
      <c r="M349" s="980"/>
      <c r="N349" s="991"/>
      <c r="O349" s="992"/>
      <c r="P349" s="980"/>
      <c r="Q349" s="980"/>
      <c r="R349" s="980"/>
      <c r="S349" s="982"/>
      <c r="T349" s="770" t="s">
        <v>34</v>
      </c>
      <c r="U349" s="770">
        <f>COUNTIF(D342:D361,"제")</f>
        <v>0</v>
      </c>
      <c r="V349" s="771">
        <f>COUNTIF(I342:I361,"제")</f>
        <v>0</v>
      </c>
      <c r="W349" s="770" t="s">
        <v>26</v>
      </c>
      <c r="X349" s="770">
        <f>SUMIF(D342:D361,"제",F342:F361)</f>
        <v>0</v>
      </c>
      <c r="Y349" s="771">
        <f>SUMIF(I342:I361,"제",K342:K361)</f>
        <v>0</v>
      </c>
      <c r="Z349" s="770">
        <f>COUNTIF(AJ342:AJ361,"제국")+COUNTIF(AJ342:AJ361,"제공")</f>
        <v>0</v>
      </c>
      <c r="AA349" s="771">
        <f>COUNTIF(AK342:AK361,"제국")+COUNTIF(AK342:AK361,"제공")</f>
        <v>0</v>
      </c>
      <c r="AB349" s="770" t="s">
        <v>26</v>
      </c>
      <c r="AC349" s="770">
        <f>SUMIF(AJ342:AJ361,"제국",F342:F361)+SUMIF(AJ342:AJ361,"제공",F342:F361)</f>
        <v>0</v>
      </c>
      <c r="AD349" s="771">
        <f>SUMIF(AK342:AK361,"제국",K342:K361)+SUMIF(AK342:AK361,"제공",K342:K361)</f>
        <v>0</v>
      </c>
      <c r="AE349" s="770">
        <f t="shared" si="106"/>
        <v>0</v>
      </c>
      <c r="AF349" s="771">
        <f t="shared" si="107"/>
        <v>0</v>
      </c>
      <c r="AG349" s="770" t="s">
        <v>26</v>
      </c>
      <c r="AH349" s="770">
        <f t="shared" si="108"/>
        <v>0</v>
      </c>
      <c r="AI349" s="771">
        <f t="shared" si="109"/>
        <v>0</v>
      </c>
      <c r="AJ349" s="770" t="str">
        <f t="shared" si="110"/>
        <v/>
      </c>
      <c r="AK349" s="770" t="str">
        <f t="shared" si="111"/>
        <v/>
      </c>
    </row>
    <row r="350" spans="1:38" s="773" customFormat="1" ht="24" hidden="1" customHeight="1" x14ac:dyDescent="0.15">
      <c r="A350" s="884">
        <v>329</v>
      </c>
      <c r="B350" s="972"/>
      <c r="C350" s="972"/>
      <c r="D350" s="972"/>
      <c r="E350" s="973"/>
      <c r="F350" s="973"/>
      <c r="G350" s="930"/>
      <c r="H350" s="987"/>
      <c r="I350" s="987"/>
      <c r="J350" s="930"/>
      <c r="K350" s="930"/>
      <c r="L350" s="988"/>
      <c r="M350" s="980"/>
      <c r="N350" s="991"/>
      <c r="O350" s="992"/>
      <c r="P350" s="980"/>
      <c r="Q350" s="980"/>
      <c r="R350" s="980"/>
      <c r="S350" s="982"/>
      <c r="T350" s="770" t="s">
        <v>46</v>
      </c>
      <c r="U350" s="770">
        <f>COUNTIF(D342:D361,"유")</f>
        <v>0</v>
      </c>
      <c r="V350" s="771">
        <f>COUNTIF(I342:I361,"유")</f>
        <v>0</v>
      </c>
      <c r="W350" s="770" t="s">
        <v>26</v>
      </c>
      <c r="X350" s="770">
        <f>SUMIF(D342:D361,"유",F342:F361)</f>
        <v>0</v>
      </c>
      <c r="Y350" s="771">
        <f>SUMIF(I342:I361,"유",K342:K361)</f>
        <v>0</v>
      </c>
      <c r="Z350" s="770">
        <f>COUNTIF(AJ342:AJ361,"유국")+COUNTIF(AJ342:AJ361,"유공")</f>
        <v>0</v>
      </c>
      <c r="AA350" s="771">
        <f>COUNTIF(AK342:AK361,"유국")+COUNTIF(AK342:AK361,"유공")</f>
        <v>0</v>
      </c>
      <c r="AB350" s="770" t="s">
        <v>26</v>
      </c>
      <c r="AC350" s="770">
        <f>SUMIF(AJ342:AJ361,"유국",F342:F361)+SUMIF(AJ342:AJ361,"유공",F342:F361)</f>
        <v>0</v>
      </c>
      <c r="AD350" s="771">
        <f>SUMIF(AK342:AK361,"유국",K342:K361)+SUMIF(AK342:AK361,"유공",K342:K361)</f>
        <v>0</v>
      </c>
      <c r="AE350" s="770">
        <f t="shared" si="106"/>
        <v>0</v>
      </c>
      <c r="AF350" s="771">
        <f t="shared" si="107"/>
        <v>0</v>
      </c>
      <c r="AG350" s="770" t="s">
        <v>26</v>
      </c>
      <c r="AH350" s="770">
        <f t="shared" si="108"/>
        <v>0</v>
      </c>
      <c r="AI350" s="771">
        <f t="shared" si="109"/>
        <v>0</v>
      </c>
      <c r="AJ350" s="770" t="str">
        <f t="shared" si="110"/>
        <v/>
      </c>
      <c r="AK350" s="770" t="str">
        <f t="shared" si="111"/>
        <v/>
      </c>
    </row>
    <row r="351" spans="1:38" s="773" customFormat="1" ht="24" hidden="1" customHeight="1" x14ac:dyDescent="0.15">
      <c r="A351" s="884">
        <v>330</v>
      </c>
      <c r="B351" s="972"/>
      <c r="C351" s="972"/>
      <c r="D351" s="972"/>
      <c r="E351" s="973"/>
      <c r="F351" s="973"/>
      <c r="G351" s="930"/>
      <c r="H351" s="987"/>
      <c r="I351" s="987"/>
      <c r="J351" s="930"/>
      <c r="K351" s="930"/>
      <c r="L351" s="988"/>
      <c r="M351" s="980"/>
      <c r="N351" s="991"/>
      <c r="O351" s="992"/>
      <c r="P351" s="980"/>
      <c r="Q351" s="980"/>
      <c r="R351" s="980"/>
      <c r="S351" s="982"/>
      <c r="T351" s="770" t="s">
        <v>47</v>
      </c>
      <c r="U351" s="770">
        <f>COUNTIF(D342:D361,"과")</f>
        <v>0</v>
      </c>
      <c r="V351" s="771">
        <f>COUNTIF(I342:I361,"과")</f>
        <v>0</v>
      </c>
      <c r="W351" s="770" t="s">
        <v>26</v>
      </c>
      <c r="X351" s="770">
        <f>SUMIF(D342:D361,"과",F342:F361)</f>
        <v>0</v>
      </c>
      <c r="Y351" s="771">
        <f>SUMIF(I342:I361,"과",K342:K361)</f>
        <v>0</v>
      </c>
      <c r="Z351" s="770">
        <f>COUNTIF(AJ342:AJ361,"과국")+COUNTIF(AJ342:AJ361,"과공")</f>
        <v>0</v>
      </c>
      <c r="AA351" s="771">
        <f>COUNTIF(AK342:AK361,"과국")+COUNTIF(AK342:AK361,"과공")</f>
        <v>0</v>
      </c>
      <c r="AB351" s="770" t="s">
        <v>26</v>
      </c>
      <c r="AC351" s="770">
        <f>SUMIF(AJ342:AJ361,"과국",F342:F361)+SUMIF(AJ342:AJ361,"과공",F342:F361)</f>
        <v>0</v>
      </c>
      <c r="AD351" s="771">
        <f>SUMIF(AK342:AK361,"과국",K342:K361)+SUMIF(AK342:AK361,"과공",K342:K361)</f>
        <v>0</v>
      </c>
      <c r="AE351" s="770">
        <f t="shared" si="106"/>
        <v>0</v>
      </c>
      <c r="AF351" s="771">
        <f t="shared" si="107"/>
        <v>0</v>
      </c>
      <c r="AG351" s="770" t="s">
        <v>26</v>
      </c>
      <c r="AH351" s="770">
        <f t="shared" si="108"/>
        <v>0</v>
      </c>
      <c r="AI351" s="771">
        <f t="shared" si="109"/>
        <v>0</v>
      </c>
      <c r="AJ351" s="770" t="str">
        <f t="shared" si="110"/>
        <v/>
      </c>
      <c r="AK351" s="770" t="str">
        <f t="shared" si="111"/>
        <v/>
      </c>
    </row>
    <row r="352" spans="1:38" s="773" customFormat="1" ht="24" hidden="1" customHeight="1" x14ac:dyDescent="0.15">
      <c r="A352" s="884">
        <v>331</v>
      </c>
      <c r="B352" s="972"/>
      <c r="C352" s="972"/>
      <c r="D352" s="972"/>
      <c r="E352" s="973"/>
      <c r="F352" s="973"/>
      <c r="G352" s="930"/>
      <c r="H352" s="987"/>
      <c r="I352" s="987"/>
      <c r="J352" s="930"/>
      <c r="K352" s="930"/>
      <c r="L352" s="988"/>
      <c r="M352" s="980"/>
      <c r="N352" s="991"/>
      <c r="O352" s="992"/>
      <c r="P352" s="980"/>
      <c r="Q352" s="980"/>
      <c r="R352" s="980"/>
      <c r="S352" s="982"/>
      <c r="T352" s="770" t="s">
        <v>36</v>
      </c>
      <c r="U352" s="770">
        <f>COUNTIF(D342:D361,"묘")</f>
        <v>0</v>
      </c>
      <c r="V352" s="771">
        <f>COUNTIF(I342:I361,"묘")</f>
        <v>0</v>
      </c>
      <c r="W352" s="770" t="s">
        <v>26</v>
      </c>
      <c r="X352" s="770">
        <f>SUMIF(D342:D361,"묘",F342:F361)</f>
        <v>0</v>
      </c>
      <c r="Y352" s="771">
        <f>SUMIF(I342:I361,"묘",K342:K361)</f>
        <v>0</v>
      </c>
      <c r="Z352" s="770">
        <f>COUNTIF(AJ342:AJ361,"묘국")+COUNTIF(AJ342:AJ361,"묘공")</f>
        <v>0</v>
      </c>
      <c r="AA352" s="771">
        <f>COUNTIF(AK342:AK361,"묘국")+COUNTIF(AK342:AK361,"묘공")</f>
        <v>0</v>
      </c>
      <c r="AB352" s="770" t="s">
        <v>26</v>
      </c>
      <c r="AC352" s="770">
        <f>SUMIF(AJ342:AJ361,"묘국",F342:F361)+SUMIF(AJ342:AJ361,"묘공",F342:F361)</f>
        <v>0</v>
      </c>
      <c r="AD352" s="771">
        <f>SUMIF(AK342:AK361,"묘국",K342:K361)+SUMIF(AK342:AK361,"묘공",K342:K361)</f>
        <v>0</v>
      </c>
      <c r="AE352" s="770">
        <f t="shared" si="106"/>
        <v>0</v>
      </c>
      <c r="AF352" s="771">
        <f t="shared" si="107"/>
        <v>0</v>
      </c>
      <c r="AG352" s="770" t="s">
        <v>26</v>
      </c>
      <c r="AH352" s="770">
        <f t="shared" si="108"/>
        <v>0</v>
      </c>
      <c r="AI352" s="771">
        <f t="shared" si="109"/>
        <v>0</v>
      </c>
      <c r="AJ352" s="770" t="str">
        <f t="shared" si="110"/>
        <v/>
      </c>
      <c r="AK352" s="770" t="str">
        <f t="shared" si="111"/>
        <v/>
      </c>
    </row>
    <row r="353" spans="1:38" s="773" customFormat="1" ht="24" hidden="1" customHeight="1" x14ac:dyDescent="0.15">
      <c r="A353" s="884">
        <v>332</v>
      </c>
      <c r="B353" s="972"/>
      <c r="C353" s="972"/>
      <c r="D353" s="972"/>
      <c r="E353" s="973"/>
      <c r="F353" s="973"/>
      <c r="G353" s="930"/>
      <c r="H353" s="987"/>
      <c r="I353" s="987"/>
      <c r="J353" s="930"/>
      <c r="K353" s="930"/>
      <c r="L353" s="988"/>
      <c r="M353" s="980"/>
      <c r="N353" s="991"/>
      <c r="O353" s="992"/>
      <c r="P353" s="980"/>
      <c r="Q353" s="980"/>
      <c r="R353" s="980"/>
      <c r="S353" s="982"/>
      <c r="T353" s="770" t="s">
        <v>39</v>
      </c>
      <c r="U353" s="770">
        <f>COUNTIF(D342:D361,"수")</f>
        <v>0</v>
      </c>
      <c r="V353" s="771">
        <f>COUNTIF(I342:I361,"수")</f>
        <v>0</v>
      </c>
      <c r="W353" s="770" t="s">
        <v>26</v>
      </c>
      <c r="X353" s="770">
        <f>SUMIF(D342:D361,"수",F342:F361)</f>
        <v>0</v>
      </c>
      <c r="Y353" s="771">
        <f>SUMIF(I342:I361,"수",K342:K361)</f>
        <v>0</v>
      </c>
      <c r="Z353" s="770">
        <f>COUNTIF(AJ342:AJ361,"수국")+COUNTIF(AJ342:AJ361,"수공")</f>
        <v>0</v>
      </c>
      <c r="AA353" s="771">
        <f>COUNTIF(AK342:AK361,"수국")+COUNTIF(AK342:AK361,"수공")</f>
        <v>0</v>
      </c>
      <c r="AB353" s="770" t="s">
        <v>26</v>
      </c>
      <c r="AC353" s="770">
        <f>SUMIF(AJ342:AJ361,"수국",F342:F361)+SUMIF(AJ342:AJ361,"수공",F342:F361)</f>
        <v>0</v>
      </c>
      <c r="AD353" s="771">
        <f>SUMIF(AK342:AK361,"수국",K342:K361)+SUMIF(AK342:AK361,"수공",K342:K361)</f>
        <v>0</v>
      </c>
      <c r="AE353" s="770">
        <f t="shared" si="106"/>
        <v>0</v>
      </c>
      <c r="AF353" s="771">
        <f t="shared" si="107"/>
        <v>0</v>
      </c>
      <c r="AG353" s="770" t="s">
        <v>26</v>
      </c>
      <c r="AH353" s="770">
        <f t="shared" si="108"/>
        <v>0</v>
      </c>
      <c r="AI353" s="771">
        <f t="shared" si="109"/>
        <v>0</v>
      </c>
      <c r="AJ353" s="770" t="str">
        <f t="shared" si="110"/>
        <v/>
      </c>
      <c r="AK353" s="770" t="str">
        <f t="shared" si="111"/>
        <v/>
      </c>
    </row>
    <row r="354" spans="1:38" s="773" customFormat="1" ht="24" hidden="1" customHeight="1" x14ac:dyDescent="0.15">
      <c r="A354" s="884">
        <v>333</v>
      </c>
      <c r="B354" s="972"/>
      <c r="C354" s="972"/>
      <c r="D354" s="972"/>
      <c r="E354" s="973"/>
      <c r="F354" s="973"/>
      <c r="G354" s="930"/>
      <c r="H354" s="987"/>
      <c r="I354" s="987"/>
      <c r="J354" s="930"/>
      <c r="K354" s="930"/>
      <c r="L354" s="988"/>
      <c r="M354" s="980"/>
      <c r="N354" s="991"/>
      <c r="O354" s="992"/>
      <c r="P354" s="980"/>
      <c r="Q354" s="980"/>
      <c r="R354" s="980"/>
      <c r="S354" s="982"/>
      <c r="T354" s="770" t="s">
        <v>35</v>
      </c>
      <c r="U354" s="770">
        <f>COUNTIF(D342:D361,"잡")</f>
        <v>0</v>
      </c>
      <c r="V354" s="771">
        <f>COUNTIF(I342:I361,"잡")</f>
        <v>0</v>
      </c>
      <c r="W354" s="770" t="s">
        <v>26</v>
      </c>
      <c r="X354" s="770">
        <f>SUMIF(D342:D361,"잡",F342:F361)</f>
        <v>0</v>
      </c>
      <c r="Y354" s="771">
        <f>SUMIF(I342:I361,"잡",K342:K361)</f>
        <v>0</v>
      </c>
      <c r="Z354" s="770">
        <f>COUNTIF(AJ342:AJ361,"잡국")+COUNTIF(AJ342:AJ361,"잡공")</f>
        <v>0</v>
      </c>
      <c r="AA354" s="771">
        <f>COUNTIF(AK342:AK361,"잡국")+COUNTIF(AK342:AK361,"잡공")</f>
        <v>0</v>
      </c>
      <c r="AB354" s="770" t="s">
        <v>26</v>
      </c>
      <c r="AC354" s="770">
        <f>SUMIF(AJ342:AJ361,"잡국",F342:F361)+SUMIF(AJ342:AJ361,"잡공",F342:F361)</f>
        <v>0</v>
      </c>
      <c r="AD354" s="771">
        <f>SUMIF(AK342:AK361,"잡국",K342:K361)+SUMIF(AK342:AK361,"잡공",K342:K361)</f>
        <v>0</v>
      </c>
      <c r="AE354" s="770">
        <f t="shared" si="106"/>
        <v>0</v>
      </c>
      <c r="AF354" s="771">
        <f t="shared" si="107"/>
        <v>0</v>
      </c>
      <c r="AG354" s="770" t="s">
        <v>26</v>
      </c>
      <c r="AH354" s="770">
        <f t="shared" si="108"/>
        <v>0</v>
      </c>
      <c r="AI354" s="771">
        <f t="shared" si="109"/>
        <v>0</v>
      </c>
      <c r="AJ354" s="770" t="str">
        <f t="shared" si="110"/>
        <v/>
      </c>
      <c r="AK354" s="770" t="str">
        <f t="shared" si="111"/>
        <v/>
      </c>
    </row>
    <row r="355" spans="1:38" s="773" customFormat="1" ht="24" hidden="1" customHeight="1" x14ac:dyDescent="0.15">
      <c r="A355" s="884">
        <v>334</v>
      </c>
      <c r="B355" s="972"/>
      <c r="C355" s="972"/>
      <c r="D355" s="972"/>
      <c r="E355" s="973"/>
      <c r="F355" s="973"/>
      <c r="G355" s="930"/>
      <c r="H355" s="987"/>
      <c r="I355" s="987"/>
      <c r="J355" s="930"/>
      <c r="K355" s="930"/>
      <c r="L355" s="988"/>
      <c r="M355" s="980"/>
      <c r="N355" s="991"/>
      <c r="O355" s="992"/>
      <c r="P355" s="980"/>
      <c r="Q355" s="980"/>
      <c r="R355" s="980"/>
      <c r="S355" s="982"/>
      <c r="T355" s="770" t="s">
        <v>51</v>
      </c>
      <c r="U355" s="770">
        <f>COUNTIF(D342:D361,"체")</f>
        <v>0</v>
      </c>
      <c r="V355" s="771">
        <f>COUNTIF(I342:I361,"체")</f>
        <v>0</v>
      </c>
      <c r="W355" s="770" t="s">
        <v>26</v>
      </c>
      <c r="X355" s="770">
        <f>SUMIF(D342:D361,"체",F342:F361)</f>
        <v>0</v>
      </c>
      <c r="Y355" s="771">
        <f>SUMIF(I342:I361,"체",K342:K361)</f>
        <v>0</v>
      </c>
      <c r="Z355" s="770">
        <f>COUNTIF(AJ342:AJ361,"체국")+COUNTIF(AJ342:AJ361,"체공")</f>
        <v>0</v>
      </c>
      <c r="AA355" s="771">
        <f>COUNTIF(AK342:AK361,"체국")+COUNTIF(AK342:AK361,"체공")</f>
        <v>0</v>
      </c>
      <c r="AB355" s="770" t="s">
        <v>26</v>
      </c>
      <c r="AC355" s="770">
        <f>SUMIF(AJ342:AJ361,"체국",F342:F361)+SUMIF(AJ342:AJ361,"체공",F342:F361)</f>
        <v>0</v>
      </c>
      <c r="AD355" s="771">
        <f>SUMIF(AK342:AK361,"체국",K342:K361)+SUMIF(AK342:AK361,"체공",K342:K361)</f>
        <v>0</v>
      </c>
      <c r="AE355" s="770">
        <f t="shared" si="106"/>
        <v>0</v>
      </c>
      <c r="AF355" s="771">
        <f t="shared" si="107"/>
        <v>0</v>
      </c>
      <c r="AG355" s="770" t="s">
        <v>26</v>
      </c>
      <c r="AH355" s="770">
        <f t="shared" si="108"/>
        <v>0</v>
      </c>
      <c r="AI355" s="771">
        <f t="shared" si="109"/>
        <v>0</v>
      </c>
      <c r="AJ355" s="770" t="str">
        <f t="shared" si="110"/>
        <v/>
      </c>
      <c r="AK355" s="770" t="str">
        <f t="shared" si="111"/>
        <v/>
      </c>
    </row>
    <row r="356" spans="1:38" s="773" customFormat="1" ht="24" hidden="1" customHeight="1" x14ac:dyDescent="0.15">
      <c r="A356" s="884">
        <v>335</v>
      </c>
      <c r="B356" s="972"/>
      <c r="C356" s="972"/>
      <c r="D356" s="972"/>
      <c r="E356" s="973"/>
      <c r="F356" s="973"/>
      <c r="G356" s="930"/>
      <c r="H356" s="987"/>
      <c r="I356" s="987"/>
      <c r="J356" s="930"/>
      <c r="K356" s="930"/>
      <c r="L356" s="988"/>
      <c r="M356" s="980"/>
      <c r="N356" s="991"/>
      <c r="O356" s="992"/>
      <c r="P356" s="980"/>
      <c r="Q356" s="980"/>
      <c r="R356" s="980"/>
      <c r="S356" s="982"/>
      <c r="T356" s="770" t="s">
        <v>50</v>
      </c>
      <c r="U356" s="770">
        <f>COUNTIF(D342:D361,"공")</f>
        <v>0</v>
      </c>
      <c r="V356" s="771">
        <f>COUNTIF(I342:I361,"공")</f>
        <v>0</v>
      </c>
      <c r="W356" s="770" t="s">
        <v>26</v>
      </c>
      <c r="X356" s="770">
        <f>SUMIF(D342:D361,"공",F342:F361)</f>
        <v>0</v>
      </c>
      <c r="Y356" s="771">
        <f>SUMIF(I342:I361,"공",K342:K361)</f>
        <v>0</v>
      </c>
      <c r="Z356" s="770">
        <f>COUNTIF(AJ342:AJ361,"공국")+COUNTIF(AJ342:AJ361,"공공")</f>
        <v>0</v>
      </c>
      <c r="AA356" s="771">
        <f>COUNTIF(AK342:AK361,"공국")+COUNTIF(AK342:AK361,"공공")</f>
        <v>0</v>
      </c>
      <c r="AB356" s="770" t="s">
        <v>26</v>
      </c>
      <c r="AC356" s="770">
        <f>SUMIF(AJ342:AJ361,"공국",F342:F361)+SUMIF(AJ342:AJ361,"공공",F342:F361)</f>
        <v>0</v>
      </c>
      <c r="AD356" s="771">
        <f>SUMIF(AK342:AK361,"공국",K342:K361)+SUMIF(AK342:AK361,"공공",K342:K361)</f>
        <v>0</v>
      </c>
      <c r="AE356" s="770">
        <f t="shared" si="106"/>
        <v>0</v>
      </c>
      <c r="AF356" s="771">
        <f t="shared" si="107"/>
        <v>0</v>
      </c>
      <c r="AG356" s="770" t="s">
        <v>26</v>
      </c>
      <c r="AH356" s="770">
        <f t="shared" si="108"/>
        <v>0</v>
      </c>
      <c r="AI356" s="771">
        <f t="shared" si="109"/>
        <v>0</v>
      </c>
      <c r="AJ356" s="770" t="str">
        <f t="shared" si="110"/>
        <v/>
      </c>
      <c r="AK356" s="770" t="str">
        <f t="shared" si="111"/>
        <v/>
      </c>
    </row>
    <row r="357" spans="1:38" s="773" customFormat="1" ht="24" hidden="1" customHeight="1" x14ac:dyDescent="0.15">
      <c r="A357" s="884">
        <v>336</v>
      </c>
      <c r="B357" s="972"/>
      <c r="C357" s="972"/>
      <c r="D357" s="972"/>
      <c r="E357" s="973"/>
      <c r="F357" s="973"/>
      <c r="G357" s="930"/>
      <c r="H357" s="987"/>
      <c r="I357" s="987"/>
      <c r="J357" s="930"/>
      <c r="K357" s="930"/>
      <c r="L357" s="988"/>
      <c r="M357" s="980"/>
      <c r="N357" s="991"/>
      <c r="O357" s="992"/>
      <c r="P357" s="980"/>
      <c r="Q357" s="980"/>
      <c r="R357" s="980"/>
      <c r="S357" s="982"/>
      <c r="T357" s="791" t="s">
        <v>40</v>
      </c>
      <c r="U357" s="770">
        <f>COUNTIF(D342:D361,"장")</f>
        <v>0</v>
      </c>
      <c r="V357" s="771">
        <f>COUNTIF(I342:I361,"장")</f>
        <v>0</v>
      </c>
      <c r="W357" s="770" t="s">
        <v>26</v>
      </c>
      <c r="X357" s="770">
        <f>SUMIF(D342:D361,"장",F342:F361)</f>
        <v>0</v>
      </c>
      <c r="Y357" s="771">
        <f>SUMIF(I342:I361,"장",K342:K361)</f>
        <v>0</v>
      </c>
      <c r="Z357" s="770">
        <f>COUNTIF(AJ342:AJ361,"장국")+COUNTIF(AJ342:AJ361,"장공")</f>
        <v>0</v>
      </c>
      <c r="AA357" s="771">
        <f>COUNTIF(AK342:AK361,"장국")+COUNTIF(AK342:AK361,"장공")</f>
        <v>0</v>
      </c>
      <c r="AB357" s="770" t="s">
        <v>26</v>
      </c>
      <c r="AC357" s="770">
        <f>SUMIF(AJ342:AJ361,"장국",F342:F361)+SUMIF(AJ342:AJ361,"장공",F342:F361)</f>
        <v>0</v>
      </c>
      <c r="AD357" s="771">
        <f>SUMIF(AK342:AK361,"장국",K342:K361)+SUMIF(AK342:AK361,"장공",K342:K361)</f>
        <v>0</v>
      </c>
      <c r="AE357" s="770">
        <f t="shared" si="106"/>
        <v>0</v>
      </c>
      <c r="AF357" s="771">
        <f t="shared" si="107"/>
        <v>0</v>
      </c>
      <c r="AG357" s="770" t="s">
        <v>26</v>
      </c>
      <c r="AH357" s="770">
        <f t="shared" si="108"/>
        <v>0</v>
      </c>
      <c r="AI357" s="771">
        <f t="shared" si="109"/>
        <v>0</v>
      </c>
      <c r="AJ357" s="770" t="str">
        <f t="shared" si="110"/>
        <v/>
      </c>
      <c r="AK357" s="770" t="str">
        <f t="shared" si="111"/>
        <v/>
      </c>
    </row>
    <row r="358" spans="1:38" s="773" customFormat="1" ht="24" hidden="1" customHeight="1" x14ac:dyDescent="0.15">
      <c r="A358" s="884">
        <v>337</v>
      </c>
      <c r="B358" s="972"/>
      <c r="C358" s="972"/>
      <c r="D358" s="972"/>
      <c r="E358" s="973"/>
      <c r="F358" s="973"/>
      <c r="G358" s="930"/>
      <c r="H358" s="987"/>
      <c r="I358" s="987"/>
      <c r="J358" s="930"/>
      <c r="K358" s="930"/>
      <c r="L358" s="988"/>
      <c r="M358" s="980"/>
      <c r="N358" s="991"/>
      <c r="O358" s="992"/>
      <c r="P358" s="980"/>
      <c r="Q358" s="980"/>
      <c r="R358" s="980"/>
      <c r="S358" s="982"/>
      <c r="T358" s="791" t="s">
        <v>5</v>
      </c>
      <c r="U358" s="770">
        <f>COUNTIF(D342:D361,"목")</f>
        <v>0</v>
      </c>
      <c r="V358" s="771">
        <f>COUNTIF(I342:I361,"목")</f>
        <v>0</v>
      </c>
      <c r="W358" s="770" t="s">
        <v>26</v>
      </c>
      <c r="X358" s="770">
        <f>SUMIF(D342:D361,"목",F342:F361)</f>
        <v>0</v>
      </c>
      <c r="Y358" s="771">
        <f>SUMIF(I342:I361,"목",K342:K361)</f>
        <v>0</v>
      </c>
      <c r="Z358" s="770">
        <f>COUNTIF(AJ342:AJ361,"목국")+COUNTIF(AJ342:AJ361,"목공")</f>
        <v>0</v>
      </c>
      <c r="AA358" s="771">
        <f>COUNTIF(AK342:AK361,"목국")+COUNTIF(AK342:AK361,"목공")</f>
        <v>0</v>
      </c>
      <c r="AB358" s="770" t="s">
        <v>26</v>
      </c>
      <c r="AC358" s="770">
        <f>SUMIF(AJ342:AJ361,"목국",F342:F361)+SUMIF(AJ342:AJ361,"목공",F342:F361)</f>
        <v>0</v>
      </c>
      <c r="AD358" s="771">
        <f>SUMIF(AK342:AK361,"목국",K342:K361)+SUMIF(AK342:AK361,"목공",K342:K361)</f>
        <v>0</v>
      </c>
      <c r="AE358" s="770">
        <f t="shared" si="106"/>
        <v>0</v>
      </c>
      <c r="AF358" s="771">
        <f t="shared" si="107"/>
        <v>0</v>
      </c>
      <c r="AG358" s="770" t="s">
        <v>26</v>
      </c>
      <c r="AH358" s="770">
        <f t="shared" si="108"/>
        <v>0</v>
      </c>
      <c r="AI358" s="771">
        <f t="shared" si="109"/>
        <v>0</v>
      </c>
      <c r="AJ358" s="770" t="str">
        <f t="shared" si="110"/>
        <v/>
      </c>
      <c r="AK358" s="770" t="str">
        <f t="shared" si="111"/>
        <v/>
      </c>
    </row>
    <row r="359" spans="1:38" s="773" customFormat="1" ht="24" hidden="1" customHeight="1" x14ac:dyDescent="0.15">
      <c r="A359" s="884">
        <v>338</v>
      </c>
      <c r="B359" s="972"/>
      <c r="C359" s="972"/>
      <c r="D359" s="972"/>
      <c r="E359" s="973"/>
      <c r="F359" s="973"/>
      <c r="G359" s="930"/>
      <c r="H359" s="987"/>
      <c r="I359" s="987"/>
      <c r="J359" s="930"/>
      <c r="K359" s="930"/>
      <c r="L359" s="988"/>
      <c r="M359" s="980"/>
      <c r="N359" s="991"/>
      <c r="O359" s="992"/>
      <c r="P359" s="980"/>
      <c r="Q359" s="980"/>
      <c r="R359" s="980"/>
      <c r="S359" s="982"/>
      <c r="T359" s="791"/>
      <c r="U359" s="791"/>
      <c r="V359" s="792"/>
      <c r="W359" s="791"/>
      <c r="X359" s="791"/>
      <c r="Y359" s="792"/>
      <c r="Z359" s="770"/>
      <c r="AA359" s="771"/>
      <c r="AB359" s="791"/>
      <c r="AC359" s="770"/>
      <c r="AD359" s="771"/>
      <c r="AE359" s="791"/>
      <c r="AF359" s="792"/>
      <c r="AG359" s="791"/>
      <c r="AH359" s="791"/>
      <c r="AI359" s="792"/>
      <c r="AJ359" s="770" t="str">
        <f t="shared" si="110"/>
        <v/>
      </c>
      <c r="AK359" s="770" t="str">
        <f t="shared" si="111"/>
        <v/>
      </c>
    </row>
    <row r="360" spans="1:38" s="773" customFormat="1" ht="24" hidden="1" customHeight="1" x14ac:dyDescent="0.15">
      <c r="A360" s="884">
        <v>339</v>
      </c>
      <c r="B360" s="972"/>
      <c r="C360" s="972"/>
      <c r="D360" s="972"/>
      <c r="E360" s="973"/>
      <c r="F360" s="973"/>
      <c r="G360" s="930"/>
      <c r="H360" s="987"/>
      <c r="I360" s="987"/>
      <c r="J360" s="930"/>
      <c r="K360" s="930"/>
      <c r="L360" s="988"/>
      <c r="M360" s="980"/>
      <c r="N360" s="991"/>
      <c r="O360" s="992"/>
      <c r="P360" s="980"/>
      <c r="Q360" s="980"/>
      <c r="R360" s="980"/>
      <c r="S360" s="982"/>
      <c r="T360" s="791"/>
      <c r="U360" s="791"/>
      <c r="V360" s="792"/>
      <c r="W360" s="791"/>
      <c r="X360" s="791"/>
      <c r="Y360" s="792"/>
      <c r="Z360" s="770"/>
      <c r="AA360" s="771"/>
      <c r="AB360" s="791"/>
      <c r="AC360" s="770"/>
      <c r="AD360" s="771"/>
      <c r="AE360" s="791"/>
      <c r="AF360" s="792"/>
      <c r="AG360" s="791"/>
      <c r="AH360" s="791"/>
      <c r="AI360" s="792"/>
      <c r="AJ360" s="770" t="str">
        <f t="shared" si="110"/>
        <v/>
      </c>
      <c r="AK360" s="770" t="str">
        <f t="shared" si="111"/>
        <v/>
      </c>
    </row>
    <row r="361" spans="1:38" s="773" customFormat="1" ht="24" hidden="1" customHeight="1" x14ac:dyDescent="0.15">
      <c r="A361" s="884">
        <v>340</v>
      </c>
      <c r="B361" s="972"/>
      <c r="C361" s="972"/>
      <c r="D361" s="972"/>
      <c r="E361" s="973"/>
      <c r="F361" s="973"/>
      <c r="G361" s="930"/>
      <c r="H361" s="987"/>
      <c r="I361" s="987"/>
      <c r="J361" s="930"/>
      <c r="K361" s="930"/>
      <c r="L361" s="988"/>
      <c r="M361" s="980"/>
      <c r="N361" s="991"/>
      <c r="O361" s="992"/>
      <c r="P361" s="980"/>
      <c r="Q361" s="980"/>
      <c r="R361" s="980"/>
      <c r="S361" s="982"/>
      <c r="T361" s="794" t="s">
        <v>37</v>
      </c>
      <c r="U361" s="794">
        <f>COUNTIF(D342:D361,"철")</f>
        <v>0</v>
      </c>
      <c r="V361" s="795">
        <f>COUNTIF(I342:I361,"철")</f>
        <v>0</v>
      </c>
      <c r="W361" s="794" t="s">
        <v>26</v>
      </c>
      <c r="X361" s="794">
        <f>SUMIF(D342:D361,"철",F342:F361)</f>
        <v>0</v>
      </c>
      <c r="Y361" s="795">
        <f>SUMIF(I342:I361,"철",K342:K361)</f>
        <v>0</v>
      </c>
      <c r="Z361" s="770">
        <f>COUNTIF(AJ342:AJ361,"철국")+COUNTIF(AJ342:AJ361,"철공")</f>
        <v>0</v>
      </c>
      <c r="AA361" s="771">
        <f>COUNTIF(AK342:AK361,"철국")+COUNTIF(AK342:AK361,"철공")</f>
        <v>0</v>
      </c>
      <c r="AB361" s="794" t="s">
        <v>26</v>
      </c>
      <c r="AC361" s="770">
        <f>SUMIF(AJ342:AJ361,"철국",F342:F361)+SUMIF(AJ342:AJ361,"철공",F342:F361)</f>
        <v>0</v>
      </c>
      <c r="AD361" s="771">
        <f>SUMIF(AK342:AK361,"철국",K342:K361)+SUMIF(AK342:AK361,"철공",K342:K361)</f>
        <v>0</v>
      </c>
      <c r="AE361" s="794"/>
      <c r="AF361" s="795"/>
      <c r="AG361" s="794"/>
      <c r="AH361" s="794"/>
      <c r="AI361" s="795"/>
      <c r="AJ361" s="770" t="str">
        <f t="shared" si="110"/>
        <v/>
      </c>
      <c r="AK361" s="770" t="str">
        <f t="shared" si="111"/>
        <v/>
      </c>
    </row>
    <row r="362" spans="1:38" s="773" customFormat="1" ht="24" hidden="1" customHeight="1" thickBot="1" x14ac:dyDescent="0.2">
      <c r="A362" s="1082" t="s">
        <v>48</v>
      </c>
      <c r="B362" s="1083"/>
      <c r="C362" s="1083"/>
      <c r="D362" s="1083"/>
      <c r="E362" s="1084"/>
      <c r="F362" s="798">
        <f>SUM(F342:F361)</f>
        <v>0</v>
      </c>
      <c r="G362" s="993"/>
      <c r="H362" s="994"/>
      <c r="I362" s="994"/>
      <c r="J362" s="993"/>
      <c r="K362" s="971">
        <f>SUM(K342:K361)</f>
        <v>0</v>
      </c>
      <c r="L362" s="995"/>
      <c r="M362" s="996"/>
      <c r="N362" s="997"/>
      <c r="O362" s="998"/>
      <c r="P362" s="996"/>
      <c r="Q362" s="996"/>
      <c r="R362" s="996"/>
      <c r="S362" s="999"/>
      <c r="T362" s="806" t="s">
        <v>24</v>
      </c>
      <c r="U362" s="807">
        <f t="shared" ref="U362:AA362" si="112">SUM(U342:U361)</f>
        <v>0</v>
      </c>
      <c r="V362" s="807">
        <f t="shared" si="112"/>
        <v>0</v>
      </c>
      <c r="W362" s="807">
        <f t="shared" si="112"/>
        <v>0</v>
      </c>
      <c r="X362" s="807">
        <f t="shared" si="112"/>
        <v>0</v>
      </c>
      <c r="Y362" s="807">
        <f t="shared" si="112"/>
        <v>0</v>
      </c>
      <c r="Z362" s="822">
        <f t="shared" si="112"/>
        <v>0</v>
      </c>
      <c r="AA362" s="823">
        <f t="shared" si="112"/>
        <v>0</v>
      </c>
      <c r="AB362" s="822" t="s">
        <v>26</v>
      </c>
      <c r="AC362" s="822">
        <f>SUM(AC342:AC361)</f>
        <v>0</v>
      </c>
      <c r="AD362" s="823">
        <f>SUM(AD342:AD361)</f>
        <v>0</v>
      </c>
      <c r="AE362" s="807">
        <f>SUM(AE342:AE361)</f>
        <v>0</v>
      </c>
      <c r="AF362" s="807">
        <f>SUM(AF342:AF361)</f>
        <v>0</v>
      </c>
      <c r="AG362" s="807" t="s">
        <v>26</v>
      </c>
      <c r="AH362" s="807">
        <f>SUM(AH342:AH361)</f>
        <v>0</v>
      </c>
      <c r="AI362" s="807">
        <f>SUM(AI342:AI361)</f>
        <v>0</v>
      </c>
      <c r="AJ362" s="807"/>
      <c r="AK362" s="755"/>
      <c r="AL362" s="772"/>
    </row>
    <row r="363" spans="1:38" s="773" customFormat="1" ht="24" hidden="1" customHeight="1" x14ac:dyDescent="0.15">
      <c r="A363" s="877">
        <v>341</v>
      </c>
      <c r="B363" s="983"/>
      <c r="C363" s="983"/>
      <c r="D363" s="983"/>
      <c r="E363" s="984"/>
      <c r="F363" s="984"/>
      <c r="G363" s="939"/>
      <c r="H363" s="1000"/>
      <c r="I363" s="1000"/>
      <c r="J363" s="939"/>
      <c r="K363" s="939"/>
      <c r="L363" s="1001"/>
      <c r="M363" s="985"/>
      <c r="N363" s="1002"/>
      <c r="O363" s="1003"/>
      <c r="P363" s="985"/>
      <c r="Q363" s="985"/>
      <c r="R363" s="985"/>
      <c r="S363" s="986"/>
      <c r="T363" s="770" t="s">
        <v>27</v>
      </c>
      <c r="U363" s="770">
        <f>COUNTIF(D363:D382,"전")</f>
        <v>0</v>
      </c>
      <c r="V363" s="771">
        <f>COUNTIF(I363:I382,"전")</f>
        <v>0</v>
      </c>
      <c r="W363" s="770" t="s">
        <v>26</v>
      </c>
      <c r="X363" s="770">
        <f>SUMIF(D363:D382,"전",F363:F382)</f>
        <v>0</v>
      </c>
      <c r="Y363" s="771">
        <f>SUMIF(I363:I382,"전",K363:K382)</f>
        <v>0</v>
      </c>
      <c r="Z363" s="770">
        <f>COUNTIF(AJ363:AJ382,"전국")+COUNTIF(AJ363:AJ382,"전공")</f>
        <v>0</v>
      </c>
      <c r="AA363" s="771">
        <f>COUNTIF(AK363:AK382,"전국")+COUNTIF(AK363:AK382,"전공")</f>
        <v>0</v>
      </c>
      <c r="AB363" s="770" t="s">
        <v>26</v>
      </c>
      <c r="AC363" s="770">
        <f>SUMIF(AJ363:AJ382,"전국",F363:F382)+SUMIF(AJ363:AJ382,"전공",F363:F382)</f>
        <v>0</v>
      </c>
      <c r="AD363" s="771">
        <f>SUMIF(AK363:AK382,"전국",K363:K382)+SUMIF(AK363:AK382,"전공",K363:K382)</f>
        <v>0</v>
      </c>
      <c r="AE363" s="770">
        <f t="shared" ref="AE363:AE379" si="113">U363-Z363</f>
        <v>0</v>
      </c>
      <c r="AF363" s="771">
        <f t="shared" ref="AF363:AF379" si="114">V363-AA363</f>
        <v>0</v>
      </c>
      <c r="AG363" s="770" t="s">
        <v>26</v>
      </c>
      <c r="AH363" s="770">
        <f t="shared" ref="AH363:AH379" si="115">X363-AC363</f>
        <v>0</v>
      </c>
      <c r="AI363" s="771">
        <f t="shared" ref="AI363:AI379" si="116">Y363-AD363</f>
        <v>0</v>
      </c>
      <c r="AJ363" s="770" t="str">
        <f t="shared" ref="AJ363:AJ382" si="117">CONCATENATE(D363,L363)</f>
        <v/>
      </c>
      <c r="AK363" s="770" t="str">
        <f t="shared" ref="AK363:AK382" si="118">CONCATENATE(I363,L363)</f>
        <v/>
      </c>
    </row>
    <row r="364" spans="1:38" s="773" customFormat="1" ht="24" hidden="1" customHeight="1" x14ac:dyDescent="0.15">
      <c r="A364" s="884">
        <v>342</v>
      </c>
      <c r="B364" s="972"/>
      <c r="C364" s="972"/>
      <c r="D364" s="972"/>
      <c r="E364" s="973"/>
      <c r="F364" s="973"/>
      <c r="G364" s="930"/>
      <c r="H364" s="987"/>
      <c r="I364" s="987"/>
      <c r="J364" s="930"/>
      <c r="K364" s="930"/>
      <c r="L364" s="988"/>
      <c r="M364" s="980"/>
      <c r="N364" s="991"/>
      <c r="O364" s="992"/>
      <c r="P364" s="980"/>
      <c r="Q364" s="980"/>
      <c r="R364" s="980"/>
      <c r="S364" s="982"/>
      <c r="T364" s="770" t="s">
        <v>28</v>
      </c>
      <c r="U364" s="770">
        <f>COUNTIF(D363:D382,"답")</f>
        <v>0</v>
      </c>
      <c r="V364" s="771">
        <f>COUNTIF(I363:I382,"답")</f>
        <v>0</v>
      </c>
      <c r="W364" s="770" t="s">
        <v>26</v>
      </c>
      <c r="X364" s="770">
        <f>SUMIF(D363:D382,"답",F363:F382)</f>
        <v>0</v>
      </c>
      <c r="Y364" s="771">
        <f>SUMIF(I363:I382,"답",K363:K382)</f>
        <v>0</v>
      </c>
      <c r="Z364" s="770">
        <f>COUNTIF(AJ363:AJ382,"답국")+COUNTIF(AJ363:AJ382,"답공")</f>
        <v>0</v>
      </c>
      <c r="AA364" s="771">
        <f>COUNTIF(AK363:AK382,"답국")+COUNTIF(AK363:AK382,"답공")</f>
        <v>0</v>
      </c>
      <c r="AB364" s="770" t="s">
        <v>26</v>
      </c>
      <c r="AC364" s="770">
        <f>SUMIF(AJ363:AJ382,"답국",F363:F382)+SUMIF(AJ363:AJ382,"답공",F363:F382)</f>
        <v>0</v>
      </c>
      <c r="AD364" s="771">
        <f>SUMIF(AK363:AK382,"답국",K363:K382)+SUMIF(AK363:AK382,"답공",K363:K382)</f>
        <v>0</v>
      </c>
      <c r="AE364" s="770">
        <f t="shared" si="113"/>
        <v>0</v>
      </c>
      <c r="AF364" s="771">
        <f t="shared" si="114"/>
        <v>0</v>
      </c>
      <c r="AG364" s="770" t="s">
        <v>26</v>
      </c>
      <c r="AH364" s="770">
        <f t="shared" si="115"/>
        <v>0</v>
      </c>
      <c r="AI364" s="771">
        <f t="shared" si="116"/>
        <v>0</v>
      </c>
      <c r="AJ364" s="770" t="str">
        <f t="shared" si="117"/>
        <v/>
      </c>
      <c r="AK364" s="770" t="str">
        <f t="shared" si="118"/>
        <v/>
      </c>
    </row>
    <row r="365" spans="1:38" s="773" customFormat="1" ht="24" hidden="1" customHeight="1" x14ac:dyDescent="0.15">
      <c r="A365" s="884">
        <v>343</v>
      </c>
      <c r="B365" s="972"/>
      <c r="C365" s="972"/>
      <c r="D365" s="972"/>
      <c r="E365" s="973"/>
      <c r="F365" s="973"/>
      <c r="G365" s="930"/>
      <c r="H365" s="987"/>
      <c r="I365" s="987"/>
      <c r="J365" s="930"/>
      <c r="K365" s="930"/>
      <c r="L365" s="988"/>
      <c r="M365" s="980"/>
      <c r="N365" s="991"/>
      <c r="O365" s="992"/>
      <c r="P365" s="980"/>
      <c r="Q365" s="980"/>
      <c r="R365" s="980"/>
      <c r="S365" s="982"/>
      <c r="T365" s="770" t="s">
        <v>44</v>
      </c>
      <c r="U365" s="770">
        <f>COUNTIF(D363:D382,"임")</f>
        <v>0</v>
      </c>
      <c r="V365" s="771">
        <f>COUNTIF(I363:I382,"임")</f>
        <v>0</v>
      </c>
      <c r="W365" s="770" t="s">
        <v>26</v>
      </c>
      <c r="X365" s="770">
        <f>SUMIF(D363:D382,"임",F363:F382)</f>
        <v>0</v>
      </c>
      <c r="Y365" s="771">
        <f>SUMIF(I363:I382,"임",K363:K382)</f>
        <v>0</v>
      </c>
      <c r="Z365" s="770">
        <f>COUNTIF(AJ363:AJ382,"임국")+COUNTIF(AJ363:AJ382,"임공")</f>
        <v>0</v>
      </c>
      <c r="AA365" s="771">
        <f>COUNTIF(AK363:AK382,"임국")+COUNTIF(AK363:AK382,"임공")</f>
        <v>0</v>
      </c>
      <c r="AB365" s="770" t="s">
        <v>26</v>
      </c>
      <c r="AC365" s="770">
        <f>SUMIF(AJ363:AJ382,"임국",F363:F382)+SUMIF(AJ363:AJ382,"임공",F363:F382)</f>
        <v>0</v>
      </c>
      <c r="AD365" s="771">
        <f>SUMIF(AK363:AK382,"임국",K363:K382)+SUMIF(AK363:AK382,"임공",K363:K382)</f>
        <v>0</v>
      </c>
      <c r="AE365" s="770">
        <f t="shared" si="113"/>
        <v>0</v>
      </c>
      <c r="AF365" s="771">
        <f t="shared" si="114"/>
        <v>0</v>
      </c>
      <c r="AG365" s="770" t="s">
        <v>26</v>
      </c>
      <c r="AH365" s="770">
        <f t="shared" si="115"/>
        <v>0</v>
      </c>
      <c r="AI365" s="771">
        <f t="shared" si="116"/>
        <v>0</v>
      </c>
      <c r="AJ365" s="770" t="str">
        <f t="shared" si="117"/>
        <v/>
      </c>
      <c r="AK365" s="770" t="str">
        <f t="shared" si="118"/>
        <v/>
      </c>
    </row>
    <row r="366" spans="1:38" s="773" customFormat="1" ht="24" hidden="1" customHeight="1" x14ac:dyDescent="0.15">
      <c r="A366" s="884">
        <v>344</v>
      </c>
      <c r="B366" s="972"/>
      <c r="C366" s="972"/>
      <c r="D366" s="972"/>
      <c r="E366" s="973"/>
      <c r="F366" s="973"/>
      <c r="G366" s="930"/>
      <c r="H366" s="987"/>
      <c r="I366" s="987"/>
      <c r="J366" s="930"/>
      <c r="K366" s="930"/>
      <c r="L366" s="988"/>
      <c r="M366" s="980"/>
      <c r="N366" s="991"/>
      <c r="O366" s="992"/>
      <c r="P366" s="980"/>
      <c r="Q366" s="980"/>
      <c r="R366" s="980"/>
      <c r="S366" s="982"/>
      <c r="T366" s="770" t="s">
        <v>45</v>
      </c>
      <c r="U366" s="770">
        <f>COUNTIF(D363:D382,"대")</f>
        <v>0</v>
      </c>
      <c r="V366" s="771">
        <f>COUNTIF(I363:I382,"대")</f>
        <v>0</v>
      </c>
      <c r="W366" s="770" t="s">
        <v>26</v>
      </c>
      <c r="X366" s="770">
        <f>SUMIF(D363:D382,"대",F363:F382)</f>
        <v>0</v>
      </c>
      <c r="Y366" s="771">
        <f>SUMIF(I363:I382,"대",K363:K382)</f>
        <v>0</v>
      </c>
      <c r="Z366" s="770">
        <f>COUNTIF(AJ363:AJ382,"대국")+COUNTIF(AJ363:AJ382,"대공")</f>
        <v>0</v>
      </c>
      <c r="AA366" s="771">
        <f>COUNTIF(AK363:AK382,"대국")+COUNTIF(AK363:AK382,"대공")</f>
        <v>0</v>
      </c>
      <c r="AB366" s="770" t="s">
        <v>26</v>
      </c>
      <c r="AC366" s="770">
        <f>SUMIF(AJ363:AJ382,"대국",F363:F382)+SUMIF(AJ363:AJ382,"대공",F363:F382)</f>
        <v>0</v>
      </c>
      <c r="AD366" s="771">
        <f>SUMIF(AK363:AK382,"대국",K363:K382)+SUMIF(AK363:AK382,"대공",K363:K382)</f>
        <v>0</v>
      </c>
      <c r="AE366" s="770">
        <f t="shared" si="113"/>
        <v>0</v>
      </c>
      <c r="AF366" s="771">
        <f t="shared" si="114"/>
        <v>0</v>
      </c>
      <c r="AG366" s="770" t="s">
        <v>26</v>
      </c>
      <c r="AH366" s="770">
        <f t="shared" si="115"/>
        <v>0</v>
      </c>
      <c r="AI366" s="771">
        <f t="shared" si="116"/>
        <v>0</v>
      </c>
      <c r="AJ366" s="770" t="str">
        <f t="shared" si="117"/>
        <v/>
      </c>
      <c r="AK366" s="770" t="str">
        <f t="shared" si="118"/>
        <v/>
      </c>
    </row>
    <row r="367" spans="1:38" s="773" customFormat="1" ht="24" hidden="1" customHeight="1" x14ac:dyDescent="0.15">
      <c r="A367" s="884">
        <v>345</v>
      </c>
      <c r="B367" s="972"/>
      <c r="C367" s="972"/>
      <c r="D367" s="972"/>
      <c r="E367" s="973"/>
      <c r="F367" s="973"/>
      <c r="G367" s="930"/>
      <c r="H367" s="987"/>
      <c r="I367" s="987"/>
      <c r="J367" s="930"/>
      <c r="K367" s="930"/>
      <c r="L367" s="988"/>
      <c r="M367" s="980"/>
      <c r="N367" s="991"/>
      <c r="O367" s="992"/>
      <c r="P367" s="980"/>
      <c r="Q367" s="980"/>
      <c r="R367" s="980"/>
      <c r="S367" s="982"/>
      <c r="T367" s="770" t="s">
        <v>31</v>
      </c>
      <c r="U367" s="770">
        <f>COUNTIF(D363:D382,"도")</f>
        <v>0</v>
      </c>
      <c r="V367" s="771">
        <f>COUNTIF(I363:I382,"도")</f>
        <v>0</v>
      </c>
      <c r="W367" s="770" t="s">
        <v>26</v>
      </c>
      <c r="X367" s="770">
        <f>SUMIF(D363:D382,"도",F363:F382)</f>
        <v>0</v>
      </c>
      <c r="Y367" s="771">
        <f>SUMIF(I363:I382,"도",K363:K382)</f>
        <v>0</v>
      </c>
      <c r="Z367" s="770">
        <f>COUNTIF(AJ363:AJ382,"도국")+COUNTIF(AJ363:AJ382,"도공")</f>
        <v>0</v>
      </c>
      <c r="AA367" s="771">
        <f>COUNTIF(AK363:AK382,"도국")+COUNTIF(AK363:AK382,"도공")</f>
        <v>0</v>
      </c>
      <c r="AB367" s="770" t="s">
        <v>26</v>
      </c>
      <c r="AC367" s="770">
        <f>SUMIF(AJ363:AJ382,"도국",F363:F382)+SUMIF(AJ363:AJ382,"도공",F363:F382)</f>
        <v>0</v>
      </c>
      <c r="AD367" s="771">
        <f>SUMIF(AK363:AK382,"도국",K363:K382)+SUMIF(AK363:AK382,"도공",K363:K382)</f>
        <v>0</v>
      </c>
      <c r="AE367" s="770">
        <f t="shared" si="113"/>
        <v>0</v>
      </c>
      <c r="AF367" s="771">
        <f t="shared" si="114"/>
        <v>0</v>
      </c>
      <c r="AG367" s="770" t="s">
        <v>26</v>
      </c>
      <c r="AH367" s="770">
        <f t="shared" si="115"/>
        <v>0</v>
      </c>
      <c r="AI367" s="771">
        <f t="shared" si="116"/>
        <v>0</v>
      </c>
      <c r="AJ367" s="770" t="str">
        <f t="shared" si="117"/>
        <v/>
      </c>
      <c r="AK367" s="770" t="str">
        <f t="shared" si="118"/>
        <v/>
      </c>
    </row>
    <row r="368" spans="1:38" s="773" customFormat="1" ht="24" hidden="1" customHeight="1" x14ac:dyDescent="0.15">
      <c r="A368" s="884">
        <v>346</v>
      </c>
      <c r="B368" s="972"/>
      <c r="C368" s="972"/>
      <c r="D368" s="972"/>
      <c r="E368" s="973"/>
      <c r="F368" s="973"/>
      <c r="G368" s="930"/>
      <c r="H368" s="987"/>
      <c r="I368" s="987"/>
      <c r="J368" s="930"/>
      <c r="K368" s="930"/>
      <c r="L368" s="988"/>
      <c r="M368" s="980"/>
      <c r="N368" s="991"/>
      <c r="O368" s="992"/>
      <c r="P368" s="980"/>
      <c r="Q368" s="980"/>
      <c r="R368" s="980"/>
      <c r="S368" s="982"/>
      <c r="T368" s="770" t="s">
        <v>32</v>
      </c>
      <c r="U368" s="786">
        <f>COUNTIF(D363:D382,"천")</f>
        <v>0</v>
      </c>
      <c r="V368" s="787">
        <f>COUNTIF(I363:I382,"천")</f>
        <v>0</v>
      </c>
      <c r="W368" s="770" t="s">
        <v>26</v>
      </c>
      <c r="X368" s="770">
        <f>SUMIF(D363:D382,"천",F363:F382)</f>
        <v>0</v>
      </c>
      <c r="Y368" s="771">
        <f>SUMIF(I363:I382,"천",K363:K382)</f>
        <v>0</v>
      </c>
      <c r="Z368" s="770">
        <f>COUNTIF(AJ363:AJ382,"천국")+COUNTIF(AJ363:AJ382,"천공")</f>
        <v>0</v>
      </c>
      <c r="AA368" s="771">
        <f>COUNTIF(AK363:AK382,"천국")+COUNTIF(AK363:AK382,"천공")</f>
        <v>0</v>
      </c>
      <c r="AB368" s="770" t="s">
        <v>26</v>
      </c>
      <c r="AC368" s="770">
        <f>SUMIF(AJ363:AJ382,"천국",F363:F382)+SUMIF(AJ363:AJ382,"천공",F363:F382)</f>
        <v>0</v>
      </c>
      <c r="AD368" s="771">
        <f>SUMIF(AK363:AK382,"천국",K363:K382)+SUMIF(AK363:AK382,"천공",K363:K382)</f>
        <v>0</v>
      </c>
      <c r="AE368" s="770">
        <f t="shared" si="113"/>
        <v>0</v>
      </c>
      <c r="AF368" s="771">
        <f t="shared" si="114"/>
        <v>0</v>
      </c>
      <c r="AG368" s="770" t="s">
        <v>26</v>
      </c>
      <c r="AH368" s="770">
        <f t="shared" si="115"/>
        <v>0</v>
      </c>
      <c r="AI368" s="771">
        <f t="shared" si="116"/>
        <v>0</v>
      </c>
      <c r="AJ368" s="770" t="str">
        <f t="shared" si="117"/>
        <v/>
      </c>
      <c r="AK368" s="770" t="str">
        <f t="shared" si="118"/>
        <v/>
      </c>
    </row>
    <row r="369" spans="1:38" s="773" customFormat="1" ht="24" hidden="1" customHeight="1" x14ac:dyDescent="0.15">
      <c r="A369" s="884">
        <v>347</v>
      </c>
      <c r="B369" s="972"/>
      <c r="C369" s="972"/>
      <c r="D369" s="972"/>
      <c r="E369" s="973"/>
      <c r="F369" s="973"/>
      <c r="G369" s="930"/>
      <c r="H369" s="987"/>
      <c r="I369" s="987"/>
      <c r="J369" s="930"/>
      <c r="K369" s="930"/>
      <c r="L369" s="988"/>
      <c r="M369" s="980"/>
      <c r="N369" s="991"/>
      <c r="O369" s="992"/>
      <c r="P369" s="980"/>
      <c r="Q369" s="980"/>
      <c r="R369" s="980"/>
      <c r="S369" s="982"/>
      <c r="T369" s="770" t="s">
        <v>33</v>
      </c>
      <c r="U369" s="770">
        <f>COUNTIF(D363:D382,"구")</f>
        <v>0</v>
      </c>
      <c r="V369" s="771">
        <f>COUNTIF(I363:I382,"구")</f>
        <v>0</v>
      </c>
      <c r="W369" s="770" t="s">
        <v>26</v>
      </c>
      <c r="X369" s="770">
        <f>SUMIF(D363:D382,"구",F363:F382)</f>
        <v>0</v>
      </c>
      <c r="Y369" s="771">
        <f>SUMIF(I363:I382,"구",K363:K382)</f>
        <v>0</v>
      </c>
      <c r="Z369" s="770">
        <f>COUNTIF(AJ363:AJ382,"구국")+COUNTIF(AJ363:AJ382,"구공")</f>
        <v>0</v>
      </c>
      <c r="AA369" s="771">
        <f>COUNTIF(AK363:AK382,"구국")+COUNTIF(AK363:AK382,"구공")</f>
        <v>0</v>
      </c>
      <c r="AB369" s="770" t="s">
        <v>26</v>
      </c>
      <c r="AC369" s="770">
        <f>SUMIF(AJ363:AJ382,"구국",F363:F382)+SUMIF(AJ363:AJ382,"구공",F363:F382)</f>
        <v>0</v>
      </c>
      <c r="AD369" s="771">
        <f>SUMIF(AK363:AK382,"구국",K363:K382)+SUMIF(AK363:AK382,"구공",K363:K382)</f>
        <v>0</v>
      </c>
      <c r="AE369" s="770">
        <f t="shared" si="113"/>
        <v>0</v>
      </c>
      <c r="AF369" s="771">
        <f t="shared" si="114"/>
        <v>0</v>
      </c>
      <c r="AG369" s="770" t="s">
        <v>26</v>
      </c>
      <c r="AH369" s="770">
        <f t="shared" si="115"/>
        <v>0</v>
      </c>
      <c r="AI369" s="771">
        <f t="shared" si="116"/>
        <v>0</v>
      </c>
      <c r="AJ369" s="770" t="str">
        <f t="shared" si="117"/>
        <v/>
      </c>
      <c r="AK369" s="770" t="str">
        <f t="shared" si="118"/>
        <v/>
      </c>
    </row>
    <row r="370" spans="1:38" s="773" customFormat="1" ht="24" hidden="1" customHeight="1" x14ac:dyDescent="0.15">
      <c r="A370" s="884">
        <v>348</v>
      </c>
      <c r="B370" s="972"/>
      <c r="C370" s="972"/>
      <c r="D370" s="972"/>
      <c r="E370" s="973"/>
      <c r="F370" s="973"/>
      <c r="G370" s="930"/>
      <c r="H370" s="987"/>
      <c r="I370" s="987"/>
      <c r="J370" s="930"/>
      <c r="K370" s="930"/>
      <c r="L370" s="988"/>
      <c r="M370" s="980"/>
      <c r="N370" s="991"/>
      <c r="O370" s="992"/>
      <c r="P370" s="980"/>
      <c r="Q370" s="980"/>
      <c r="R370" s="980"/>
      <c r="S370" s="982"/>
      <c r="T370" s="770" t="s">
        <v>34</v>
      </c>
      <c r="U370" s="770">
        <f>COUNTIF(D363:D382,"제")</f>
        <v>0</v>
      </c>
      <c r="V370" s="771">
        <f>COUNTIF(I363:I382,"제")</f>
        <v>0</v>
      </c>
      <c r="W370" s="770" t="s">
        <v>26</v>
      </c>
      <c r="X370" s="770">
        <f>SUMIF(D363:D382,"제",F363:F382)</f>
        <v>0</v>
      </c>
      <c r="Y370" s="771">
        <f>SUMIF(I363:I382,"제",K363:K382)</f>
        <v>0</v>
      </c>
      <c r="Z370" s="770">
        <f>COUNTIF(AJ363:AJ382,"제국")+COUNTIF(AJ363:AJ382,"제공")</f>
        <v>0</v>
      </c>
      <c r="AA370" s="771">
        <f>COUNTIF(AK363:AK382,"제국")+COUNTIF(AK363:AK382,"제공")</f>
        <v>0</v>
      </c>
      <c r="AB370" s="770" t="s">
        <v>26</v>
      </c>
      <c r="AC370" s="770">
        <f>SUMIF(AJ363:AJ382,"제국",F363:F382)+SUMIF(AJ363:AJ382,"제공",F363:F382)</f>
        <v>0</v>
      </c>
      <c r="AD370" s="771">
        <f>SUMIF(AK363:AK382,"제국",K363:K382)+SUMIF(AK363:AK382,"제공",K363:K382)</f>
        <v>0</v>
      </c>
      <c r="AE370" s="770">
        <f t="shared" si="113"/>
        <v>0</v>
      </c>
      <c r="AF370" s="771">
        <f t="shared" si="114"/>
        <v>0</v>
      </c>
      <c r="AG370" s="770" t="s">
        <v>26</v>
      </c>
      <c r="AH370" s="770">
        <f t="shared" si="115"/>
        <v>0</v>
      </c>
      <c r="AI370" s="771">
        <f t="shared" si="116"/>
        <v>0</v>
      </c>
      <c r="AJ370" s="770" t="str">
        <f t="shared" si="117"/>
        <v/>
      </c>
      <c r="AK370" s="770" t="str">
        <f t="shared" si="118"/>
        <v/>
      </c>
    </row>
    <row r="371" spans="1:38" s="773" customFormat="1" ht="24" hidden="1" customHeight="1" x14ac:dyDescent="0.15">
      <c r="A371" s="884">
        <v>349</v>
      </c>
      <c r="B371" s="972"/>
      <c r="C371" s="972"/>
      <c r="D371" s="972"/>
      <c r="E371" s="973"/>
      <c r="F371" s="973"/>
      <c r="G371" s="930"/>
      <c r="H371" s="987"/>
      <c r="I371" s="987"/>
      <c r="J371" s="930"/>
      <c r="K371" s="930"/>
      <c r="L371" s="988"/>
      <c r="M371" s="980"/>
      <c r="N371" s="991"/>
      <c r="O371" s="992"/>
      <c r="P371" s="980"/>
      <c r="Q371" s="980"/>
      <c r="R371" s="980"/>
      <c r="S371" s="982"/>
      <c r="T371" s="770" t="s">
        <v>46</v>
      </c>
      <c r="U371" s="770">
        <f>COUNTIF(D363:D382,"유")</f>
        <v>0</v>
      </c>
      <c r="V371" s="771">
        <f>COUNTIF(I363:I382,"유")</f>
        <v>0</v>
      </c>
      <c r="W371" s="770" t="s">
        <v>26</v>
      </c>
      <c r="X371" s="770">
        <f>SUMIF(D363:D382,"유",F363:F382)</f>
        <v>0</v>
      </c>
      <c r="Y371" s="771">
        <f>SUMIF(I363:I382,"유",K363:K382)</f>
        <v>0</v>
      </c>
      <c r="Z371" s="770">
        <f>COUNTIF(AJ363:AJ382,"유국")+COUNTIF(AJ363:AJ382,"유공")</f>
        <v>0</v>
      </c>
      <c r="AA371" s="771">
        <f>COUNTIF(AK363:AK382,"유국")+COUNTIF(AK363:AK382,"유공")</f>
        <v>0</v>
      </c>
      <c r="AB371" s="770" t="s">
        <v>26</v>
      </c>
      <c r="AC371" s="770">
        <f>SUMIF(AJ363:AJ382,"유국",F363:F382)+SUMIF(AJ363:AJ382,"유공",F363:F382)</f>
        <v>0</v>
      </c>
      <c r="AD371" s="771">
        <f>SUMIF(AK363:AK382,"유국",K363:K382)+SUMIF(AK363:AK382,"유공",K363:K382)</f>
        <v>0</v>
      </c>
      <c r="AE371" s="770">
        <f t="shared" si="113"/>
        <v>0</v>
      </c>
      <c r="AF371" s="771">
        <f t="shared" si="114"/>
        <v>0</v>
      </c>
      <c r="AG371" s="770" t="s">
        <v>26</v>
      </c>
      <c r="AH371" s="770">
        <f t="shared" si="115"/>
        <v>0</v>
      </c>
      <c r="AI371" s="771">
        <f t="shared" si="116"/>
        <v>0</v>
      </c>
      <c r="AJ371" s="770" t="str">
        <f t="shared" si="117"/>
        <v/>
      </c>
      <c r="AK371" s="770" t="str">
        <f t="shared" si="118"/>
        <v/>
      </c>
    </row>
    <row r="372" spans="1:38" s="773" customFormat="1" ht="24" hidden="1" customHeight="1" x14ac:dyDescent="0.15">
      <c r="A372" s="884">
        <v>350</v>
      </c>
      <c r="B372" s="972"/>
      <c r="C372" s="972"/>
      <c r="D372" s="972"/>
      <c r="E372" s="973"/>
      <c r="F372" s="973"/>
      <c r="G372" s="930"/>
      <c r="H372" s="987"/>
      <c r="I372" s="987"/>
      <c r="J372" s="930"/>
      <c r="K372" s="930"/>
      <c r="L372" s="988"/>
      <c r="M372" s="980"/>
      <c r="N372" s="991"/>
      <c r="O372" s="992"/>
      <c r="P372" s="980"/>
      <c r="Q372" s="980"/>
      <c r="R372" s="980"/>
      <c r="S372" s="982"/>
      <c r="T372" s="770" t="s">
        <v>47</v>
      </c>
      <c r="U372" s="770">
        <f>COUNTIF(D363:D382,"과")</f>
        <v>0</v>
      </c>
      <c r="V372" s="771">
        <f>COUNTIF(I363:I382,"과")</f>
        <v>0</v>
      </c>
      <c r="W372" s="770" t="s">
        <v>26</v>
      </c>
      <c r="X372" s="770">
        <f>SUMIF(D363:D382,"과",F363:F382)</f>
        <v>0</v>
      </c>
      <c r="Y372" s="771">
        <f>SUMIF(I363:I382,"과",K363:K382)</f>
        <v>0</v>
      </c>
      <c r="Z372" s="770">
        <f>COUNTIF(AJ363:AJ382,"과국")+COUNTIF(AJ363:AJ382,"과공")</f>
        <v>0</v>
      </c>
      <c r="AA372" s="771">
        <f>COUNTIF(AK363:AK382,"과국")+COUNTIF(AK363:AK382,"과공")</f>
        <v>0</v>
      </c>
      <c r="AB372" s="770" t="s">
        <v>26</v>
      </c>
      <c r="AC372" s="770">
        <f>SUMIF(AJ363:AJ382,"과국",F363:F382)+SUMIF(AJ363:AJ382,"과공",F363:F382)</f>
        <v>0</v>
      </c>
      <c r="AD372" s="771">
        <f>SUMIF(AK363:AK382,"과국",K363:K382)+SUMIF(AK363:AK382,"과공",K363:K382)</f>
        <v>0</v>
      </c>
      <c r="AE372" s="770">
        <f t="shared" si="113"/>
        <v>0</v>
      </c>
      <c r="AF372" s="771">
        <f t="shared" si="114"/>
        <v>0</v>
      </c>
      <c r="AG372" s="770" t="s">
        <v>26</v>
      </c>
      <c r="AH372" s="770">
        <f t="shared" si="115"/>
        <v>0</v>
      </c>
      <c r="AI372" s="771">
        <f t="shared" si="116"/>
        <v>0</v>
      </c>
      <c r="AJ372" s="770" t="str">
        <f t="shared" si="117"/>
        <v/>
      </c>
      <c r="AK372" s="770" t="str">
        <f t="shared" si="118"/>
        <v/>
      </c>
    </row>
    <row r="373" spans="1:38" s="773" customFormat="1" ht="24" hidden="1" customHeight="1" x14ac:dyDescent="0.15">
      <c r="A373" s="884">
        <v>351</v>
      </c>
      <c r="B373" s="972"/>
      <c r="C373" s="972"/>
      <c r="D373" s="972"/>
      <c r="E373" s="973"/>
      <c r="F373" s="973"/>
      <c r="G373" s="930"/>
      <c r="H373" s="987"/>
      <c r="I373" s="987"/>
      <c r="J373" s="930"/>
      <c r="K373" s="930"/>
      <c r="L373" s="988"/>
      <c r="M373" s="980"/>
      <c r="N373" s="991"/>
      <c r="O373" s="992"/>
      <c r="P373" s="980"/>
      <c r="Q373" s="980"/>
      <c r="R373" s="980"/>
      <c r="S373" s="982"/>
      <c r="T373" s="770" t="s">
        <v>36</v>
      </c>
      <c r="U373" s="770">
        <f>COUNTIF(D363:D382,"묘")</f>
        <v>0</v>
      </c>
      <c r="V373" s="771">
        <f>COUNTIF(I363:I382,"묘")</f>
        <v>0</v>
      </c>
      <c r="W373" s="770" t="s">
        <v>26</v>
      </c>
      <c r="X373" s="770">
        <f>SUMIF(D363:D382,"묘",F363:F382)</f>
        <v>0</v>
      </c>
      <c r="Y373" s="771">
        <f>SUMIF(I363:I382,"묘",K363:K382)</f>
        <v>0</v>
      </c>
      <c r="Z373" s="770">
        <f>COUNTIF(AJ363:AJ382,"묘국")+COUNTIF(AJ363:AJ382,"묘공")</f>
        <v>0</v>
      </c>
      <c r="AA373" s="771">
        <f>COUNTIF(AK363:AK382,"묘국")+COUNTIF(AK363:AK382,"묘공")</f>
        <v>0</v>
      </c>
      <c r="AB373" s="770" t="s">
        <v>26</v>
      </c>
      <c r="AC373" s="770">
        <f>SUMIF(AJ363:AJ382,"묘국",F363:F382)+SUMIF(AJ363:AJ382,"묘공",F363:F382)</f>
        <v>0</v>
      </c>
      <c r="AD373" s="771">
        <f>SUMIF(AK363:AK382,"묘국",K363:K382)+SUMIF(AK363:AK382,"묘공",K363:K382)</f>
        <v>0</v>
      </c>
      <c r="AE373" s="770">
        <f t="shared" si="113"/>
        <v>0</v>
      </c>
      <c r="AF373" s="771">
        <f t="shared" si="114"/>
        <v>0</v>
      </c>
      <c r="AG373" s="770" t="s">
        <v>26</v>
      </c>
      <c r="AH373" s="770">
        <f t="shared" si="115"/>
        <v>0</v>
      </c>
      <c r="AI373" s="771">
        <f t="shared" si="116"/>
        <v>0</v>
      </c>
      <c r="AJ373" s="770" t="str">
        <f t="shared" si="117"/>
        <v/>
      </c>
      <c r="AK373" s="770" t="str">
        <f t="shared" si="118"/>
        <v/>
      </c>
    </row>
    <row r="374" spans="1:38" s="773" customFormat="1" ht="24" hidden="1" customHeight="1" x14ac:dyDescent="0.15">
      <c r="A374" s="884">
        <v>352</v>
      </c>
      <c r="B374" s="972"/>
      <c r="C374" s="972"/>
      <c r="D374" s="972"/>
      <c r="E374" s="973"/>
      <c r="F374" s="973"/>
      <c r="G374" s="930"/>
      <c r="H374" s="987"/>
      <c r="I374" s="987"/>
      <c r="J374" s="930"/>
      <c r="K374" s="930"/>
      <c r="L374" s="988"/>
      <c r="M374" s="980"/>
      <c r="N374" s="991"/>
      <c r="O374" s="992"/>
      <c r="P374" s="980"/>
      <c r="Q374" s="980"/>
      <c r="R374" s="980"/>
      <c r="S374" s="982"/>
      <c r="T374" s="770" t="s">
        <v>39</v>
      </c>
      <c r="U374" s="770">
        <f>COUNTIF(D363:D382,"수")</f>
        <v>0</v>
      </c>
      <c r="V374" s="771">
        <f>COUNTIF(I363:I382,"수")</f>
        <v>0</v>
      </c>
      <c r="W374" s="770" t="s">
        <v>26</v>
      </c>
      <c r="X374" s="770">
        <f>SUMIF(D363:D382,"수",F363:F382)</f>
        <v>0</v>
      </c>
      <c r="Y374" s="771">
        <f>SUMIF(I363:I382,"수",K363:K382)</f>
        <v>0</v>
      </c>
      <c r="Z374" s="770">
        <f>COUNTIF(AJ363:AJ382,"수국")+COUNTIF(AJ363:AJ382,"수공")</f>
        <v>0</v>
      </c>
      <c r="AA374" s="771">
        <f>COUNTIF(AK363:AK382,"수국")+COUNTIF(AK363:AK382,"수공")</f>
        <v>0</v>
      </c>
      <c r="AB374" s="770" t="s">
        <v>26</v>
      </c>
      <c r="AC374" s="770">
        <f>SUMIF(AJ363:AJ382,"수국",F363:F382)+SUMIF(AJ363:AJ382,"수공",F363:F382)</f>
        <v>0</v>
      </c>
      <c r="AD374" s="771">
        <f>SUMIF(AK363:AK382,"수국",K363:K382)+SUMIF(AK363:AK382,"수공",K363:K382)</f>
        <v>0</v>
      </c>
      <c r="AE374" s="770">
        <f t="shared" si="113"/>
        <v>0</v>
      </c>
      <c r="AF374" s="771">
        <f t="shared" si="114"/>
        <v>0</v>
      </c>
      <c r="AG374" s="770" t="s">
        <v>26</v>
      </c>
      <c r="AH374" s="770">
        <f t="shared" si="115"/>
        <v>0</v>
      </c>
      <c r="AI374" s="771">
        <f t="shared" si="116"/>
        <v>0</v>
      </c>
      <c r="AJ374" s="770" t="str">
        <f t="shared" si="117"/>
        <v/>
      </c>
      <c r="AK374" s="770" t="str">
        <f t="shared" si="118"/>
        <v/>
      </c>
    </row>
    <row r="375" spans="1:38" s="773" customFormat="1" ht="24" hidden="1" customHeight="1" x14ac:dyDescent="0.15">
      <c r="A375" s="884">
        <v>353</v>
      </c>
      <c r="B375" s="972"/>
      <c r="C375" s="972"/>
      <c r="D375" s="972"/>
      <c r="E375" s="973"/>
      <c r="F375" s="973"/>
      <c r="G375" s="930"/>
      <c r="H375" s="987"/>
      <c r="I375" s="987"/>
      <c r="J375" s="930"/>
      <c r="K375" s="930"/>
      <c r="L375" s="988"/>
      <c r="M375" s="980"/>
      <c r="N375" s="991"/>
      <c r="O375" s="992"/>
      <c r="P375" s="980"/>
      <c r="Q375" s="980"/>
      <c r="R375" s="980"/>
      <c r="S375" s="982"/>
      <c r="T375" s="770" t="s">
        <v>35</v>
      </c>
      <c r="U375" s="770">
        <f>COUNTIF(D363:D382,"잡")</f>
        <v>0</v>
      </c>
      <c r="V375" s="771">
        <f>COUNTIF(I363:I382,"잡")</f>
        <v>0</v>
      </c>
      <c r="W375" s="770" t="s">
        <v>26</v>
      </c>
      <c r="X375" s="770">
        <f>SUMIF(D363:D382,"잡",F363:F382)</f>
        <v>0</v>
      </c>
      <c r="Y375" s="771">
        <f>SUMIF(I363:I382,"잡",K363:K382)</f>
        <v>0</v>
      </c>
      <c r="Z375" s="770">
        <f>COUNTIF(AJ363:AJ382,"잡국")+COUNTIF(AJ363:AJ382,"잡공")</f>
        <v>0</v>
      </c>
      <c r="AA375" s="771">
        <f>COUNTIF(AK363:AK382,"잡국")+COUNTIF(AK363:AK382,"잡공")</f>
        <v>0</v>
      </c>
      <c r="AB375" s="770" t="s">
        <v>26</v>
      </c>
      <c r="AC375" s="770">
        <f>SUMIF(AJ363:AJ382,"잡국",F363:F382)+SUMIF(AJ363:AJ382,"잡공",F363:F382)</f>
        <v>0</v>
      </c>
      <c r="AD375" s="771">
        <f>SUMIF(AK363:AK382,"잡국",K363:K382)+SUMIF(AK363:AK382,"잡공",K363:K382)</f>
        <v>0</v>
      </c>
      <c r="AE375" s="770">
        <f t="shared" si="113"/>
        <v>0</v>
      </c>
      <c r="AF375" s="771">
        <f t="shared" si="114"/>
        <v>0</v>
      </c>
      <c r="AG375" s="770" t="s">
        <v>26</v>
      </c>
      <c r="AH375" s="770">
        <f t="shared" si="115"/>
        <v>0</v>
      </c>
      <c r="AI375" s="771">
        <f t="shared" si="116"/>
        <v>0</v>
      </c>
      <c r="AJ375" s="770" t="str">
        <f t="shared" si="117"/>
        <v/>
      </c>
      <c r="AK375" s="770" t="str">
        <f t="shared" si="118"/>
        <v/>
      </c>
    </row>
    <row r="376" spans="1:38" s="773" customFormat="1" ht="24" hidden="1" customHeight="1" x14ac:dyDescent="0.15">
      <c r="A376" s="884">
        <v>354</v>
      </c>
      <c r="B376" s="972"/>
      <c r="C376" s="972"/>
      <c r="D376" s="972"/>
      <c r="E376" s="973"/>
      <c r="F376" s="973"/>
      <c r="G376" s="930"/>
      <c r="H376" s="987"/>
      <c r="I376" s="987"/>
      <c r="J376" s="930"/>
      <c r="K376" s="930"/>
      <c r="L376" s="988"/>
      <c r="M376" s="980"/>
      <c r="N376" s="991"/>
      <c r="O376" s="992"/>
      <c r="P376" s="980"/>
      <c r="Q376" s="980"/>
      <c r="R376" s="980"/>
      <c r="S376" s="982"/>
      <c r="T376" s="770" t="s">
        <v>51</v>
      </c>
      <c r="U376" s="770">
        <f>COUNTIF(D363:D382,"체")</f>
        <v>0</v>
      </c>
      <c r="V376" s="771">
        <f>COUNTIF(I363:I382,"체")</f>
        <v>0</v>
      </c>
      <c r="W376" s="770" t="s">
        <v>26</v>
      </c>
      <c r="X376" s="770">
        <f>SUMIF(D363:D382,"체",F363:F382)</f>
        <v>0</v>
      </c>
      <c r="Y376" s="771">
        <f>SUMIF(I363:I382,"체",K363:K382)</f>
        <v>0</v>
      </c>
      <c r="Z376" s="770">
        <f>COUNTIF(AJ363:AJ382,"체국")+COUNTIF(AJ363:AJ382,"체공")</f>
        <v>0</v>
      </c>
      <c r="AA376" s="771">
        <f>COUNTIF(AK363:AK382,"체국")+COUNTIF(AK363:AK382,"체공")</f>
        <v>0</v>
      </c>
      <c r="AB376" s="770" t="s">
        <v>26</v>
      </c>
      <c r="AC376" s="770">
        <f>SUMIF(AJ363:AJ382,"체국",F363:F382)+SUMIF(AJ363:AJ382,"체공",F363:F382)</f>
        <v>0</v>
      </c>
      <c r="AD376" s="771">
        <f>SUMIF(AK363:AK382,"체국",K363:K382)+SUMIF(AK363:AK382,"체공",K363:K382)</f>
        <v>0</v>
      </c>
      <c r="AE376" s="770">
        <f t="shared" si="113"/>
        <v>0</v>
      </c>
      <c r="AF376" s="771">
        <f t="shared" si="114"/>
        <v>0</v>
      </c>
      <c r="AG376" s="770" t="s">
        <v>26</v>
      </c>
      <c r="AH376" s="770">
        <f t="shared" si="115"/>
        <v>0</v>
      </c>
      <c r="AI376" s="771">
        <f t="shared" si="116"/>
        <v>0</v>
      </c>
      <c r="AJ376" s="770" t="str">
        <f t="shared" si="117"/>
        <v/>
      </c>
      <c r="AK376" s="770" t="str">
        <f t="shared" si="118"/>
        <v/>
      </c>
    </row>
    <row r="377" spans="1:38" s="773" customFormat="1" ht="24" hidden="1" customHeight="1" x14ac:dyDescent="0.15">
      <c r="A377" s="884">
        <v>355</v>
      </c>
      <c r="B377" s="972"/>
      <c r="C377" s="972"/>
      <c r="D377" s="972"/>
      <c r="E377" s="973"/>
      <c r="F377" s="973"/>
      <c r="G377" s="930"/>
      <c r="H377" s="987"/>
      <c r="I377" s="987"/>
      <c r="J377" s="930"/>
      <c r="K377" s="930"/>
      <c r="L377" s="988"/>
      <c r="M377" s="980"/>
      <c r="N377" s="991"/>
      <c r="O377" s="992"/>
      <c r="P377" s="980"/>
      <c r="Q377" s="980"/>
      <c r="R377" s="980"/>
      <c r="S377" s="982"/>
      <c r="T377" s="770" t="s">
        <v>50</v>
      </c>
      <c r="U377" s="770">
        <f>COUNTIF(D363:D382,"공")</f>
        <v>0</v>
      </c>
      <c r="V377" s="771">
        <f>COUNTIF(I363:I382,"공")</f>
        <v>0</v>
      </c>
      <c r="W377" s="770" t="s">
        <v>26</v>
      </c>
      <c r="X377" s="770">
        <f>SUMIF(D363:D382,"공",F363:F382)</f>
        <v>0</v>
      </c>
      <c r="Y377" s="771">
        <f>SUMIF(I363:I382,"공",K363:K382)</f>
        <v>0</v>
      </c>
      <c r="Z377" s="770">
        <f>COUNTIF(AJ363:AJ382,"공국")+COUNTIF(AJ363:AJ382,"공공")</f>
        <v>0</v>
      </c>
      <c r="AA377" s="771">
        <f>COUNTIF(AK363:AK382,"공국")+COUNTIF(AK363:AK382,"공공")</f>
        <v>0</v>
      </c>
      <c r="AB377" s="770" t="s">
        <v>26</v>
      </c>
      <c r="AC377" s="770">
        <f>SUMIF(AJ363:AJ382,"공국",F363:F382)+SUMIF(AJ363:AJ382,"공공",F363:F382)</f>
        <v>0</v>
      </c>
      <c r="AD377" s="771">
        <f>SUMIF(AK363:AK382,"공국",K363:K382)+SUMIF(AK363:AK382,"공공",K363:K382)</f>
        <v>0</v>
      </c>
      <c r="AE377" s="770">
        <f t="shared" si="113"/>
        <v>0</v>
      </c>
      <c r="AF377" s="771">
        <f t="shared" si="114"/>
        <v>0</v>
      </c>
      <c r="AG377" s="770" t="s">
        <v>26</v>
      </c>
      <c r="AH377" s="770">
        <f t="shared" si="115"/>
        <v>0</v>
      </c>
      <c r="AI377" s="771">
        <f t="shared" si="116"/>
        <v>0</v>
      </c>
      <c r="AJ377" s="770" t="str">
        <f t="shared" si="117"/>
        <v/>
      </c>
      <c r="AK377" s="770" t="str">
        <f t="shared" si="118"/>
        <v/>
      </c>
    </row>
    <row r="378" spans="1:38" s="773" customFormat="1" ht="24" hidden="1" customHeight="1" x14ac:dyDescent="0.15">
      <c r="A378" s="884">
        <v>356</v>
      </c>
      <c r="B378" s="972"/>
      <c r="C378" s="972"/>
      <c r="D378" s="972"/>
      <c r="E378" s="973"/>
      <c r="F378" s="973"/>
      <c r="G378" s="930"/>
      <c r="H378" s="987"/>
      <c r="I378" s="987"/>
      <c r="J378" s="930"/>
      <c r="K378" s="930"/>
      <c r="L378" s="988"/>
      <c r="M378" s="980"/>
      <c r="N378" s="991"/>
      <c r="O378" s="992"/>
      <c r="P378" s="980"/>
      <c r="Q378" s="980"/>
      <c r="R378" s="980"/>
      <c r="S378" s="982"/>
      <c r="T378" s="791" t="s">
        <v>40</v>
      </c>
      <c r="U378" s="770">
        <f>COUNTIF(D363:D382,"장")</f>
        <v>0</v>
      </c>
      <c r="V378" s="771">
        <f>COUNTIF(I363:I382,"장")</f>
        <v>0</v>
      </c>
      <c r="W378" s="770" t="s">
        <v>26</v>
      </c>
      <c r="X378" s="770">
        <f>SUMIF(D363:D382,"장",F363:F382)</f>
        <v>0</v>
      </c>
      <c r="Y378" s="771">
        <f>SUMIF(I363:I382,"장",K363:K382)</f>
        <v>0</v>
      </c>
      <c r="Z378" s="770">
        <f>COUNTIF(AJ363:AJ382,"장국")+COUNTIF(AJ363:AJ382,"장공")</f>
        <v>0</v>
      </c>
      <c r="AA378" s="771">
        <f>COUNTIF(AK363:AK382,"장국")+COUNTIF(AK363:AK382,"장공")</f>
        <v>0</v>
      </c>
      <c r="AB378" s="770" t="s">
        <v>26</v>
      </c>
      <c r="AC378" s="770">
        <f>SUMIF(AJ363:AJ382,"장국",F363:F382)+SUMIF(AJ363:AJ382,"장공",F363:F382)</f>
        <v>0</v>
      </c>
      <c r="AD378" s="771">
        <f>SUMIF(AK363:AK382,"장국",K363:K382)+SUMIF(AK363:AK382,"장공",K363:K382)</f>
        <v>0</v>
      </c>
      <c r="AE378" s="770">
        <f t="shared" si="113"/>
        <v>0</v>
      </c>
      <c r="AF378" s="771">
        <f t="shared" si="114"/>
        <v>0</v>
      </c>
      <c r="AG378" s="770" t="s">
        <v>26</v>
      </c>
      <c r="AH378" s="770">
        <f t="shared" si="115"/>
        <v>0</v>
      </c>
      <c r="AI378" s="771">
        <f t="shared" si="116"/>
        <v>0</v>
      </c>
      <c r="AJ378" s="770" t="str">
        <f t="shared" si="117"/>
        <v/>
      </c>
      <c r="AK378" s="770" t="str">
        <f t="shared" si="118"/>
        <v/>
      </c>
    </row>
    <row r="379" spans="1:38" s="773" customFormat="1" ht="24" hidden="1" customHeight="1" x14ac:dyDescent="0.15">
      <c r="A379" s="884">
        <v>357</v>
      </c>
      <c r="B379" s="972"/>
      <c r="C379" s="972"/>
      <c r="D379" s="972"/>
      <c r="E379" s="973"/>
      <c r="F379" s="973"/>
      <c r="G379" s="930"/>
      <c r="H379" s="987"/>
      <c r="I379" s="987"/>
      <c r="J379" s="930"/>
      <c r="K379" s="930"/>
      <c r="L379" s="988"/>
      <c r="M379" s="980"/>
      <c r="N379" s="991"/>
      <c r="O379" s="992"/>
      <c r="P379" s="980"/>
      <c r="Q379" s="980"/>
      <c r="R379" s="980"/>
      <c r="S379" s="982"/>
      <c r="T379" s="791" t="s">
        <v>5</v>
      </c>
      <c r="U379" s="770">
        <f>COUNTIF(D363:D382,"목")</f>
        <v>0</v>
      </c>
      <c r="V379" s="771">
        <f>COUNTIF(I363:I382,"목")</f>
        <v>0</v>
      </c>
      <c r="W379" s="770" t="s">
        <v>26</v>
      </c>
      <c r="X379" s="770">
        <f>SUMIF(D363:D382,"목",F363:F382)</f>
        <v>0</v>
      </c>
      <c r="Y379" s="771">
        <f>SUMIF(I363:I382,"목",K363:K382)</f>
        <v>0</v>
      </c>
      <c r="Z379" s="770">
        <f>COUNTIF(AJ363:AJ382,"목국")+COUNTIF(AJ363:AJ382,"목공")</f>
        <v>0</v>
      </c>
      <c r="AA379" s="771">
        <f>COUNTIF(AK363:AK382,"목국")+COUNTIF(AK363:AK382,"목공")</f>
        <v>0</v>
      </c>
      <c r="AB379" s="770" t="s">
        <v>26</v>
      </c>
      <c r="AC379" s="770">
        <f>SUMIF(AJ363:AJ382,"목국",F363:F382)+SUMIF(AJ363:AJ382,"목공",F363:F382)</f>
        <v>0</v>
      </c>
      <c r="AD379" s="771">
        <f>SUMIF(AK363:AK382,"목국",K363:K382)+SUMIF(AK363:AK382,"목공",K363:K382)</f>
        <v>0</v>
      </c>
      <c r="AE379" s="770">
        <f t="shared" si="113"/>
        <v>0</v>
      </c>
      <c r="AF379" s="771">
        <f t="shared" si="114"/>
        <v>0</v>
      </c>
      <c r="AG379" s="770" t="s">
        <v>26</v>
      </c>
      <c r="AH379" s="770">
        <f t="shared" si="115"/>
        <v>0</v>
      </c>
      <c r="AI379" s="771">
        <f t="shared" si="116"/>
        <v>0</v>
      </c>
      <c r="AJ379" s="770" t="str">
        <f t="shared" si="117"/>
        <v/>
      </c>
      <c r="AK379" s="770" t="str">
        <f t="shared" si="118"/>
        <v/>
      </c>
    </row>
    <row r="380" spans="1:38" s="773" customFormat="1" ht="24" hidden="1" customHeight="1" x14ac:dyDescent="0.15">
      <c r="A380" s="884">
        <v>358</v>
      </c>
      <c r="B380" s="972"/>
      <c r="C380" s="972"/>
      <c r="D380" s="972"/>
      <c r="E380" s="973"/>
      <c r="F380" s="973"/>
      <c r="G380" s="930"/>
      <c r="H380" s="987"/>
      <c r="I380" s="987"/>
      <c r="J380" s="930"/>
      <c r="K380" s="930"/>
      <c r="L380" s="988"/>
      <c r="M380" s="980"/>
      <c r="N380" s="991"/>
      <c r="O380" s="992"/>
      <c r="P380" s="980"/>
      <c r="Q380" s="980"/>
      <c r="R380" s="980"/>
      <c r="S380" s="982"/>
      <c r="T380" s="791"/>
      <c r="U380" s="791"/>
      <c r="V380" s="792"/>
      <c r="W380" s="791"/>
      <c r="X380" s="791"/>
      <c r="Y380" s="792"/>
      <c r="Z380" s="770"/>
      <c r="AA380" s="771"/>
      <c r="AB380" s="791"/>
      <c r="AC380" s="770"/>
      <c r="AD380" s="771"/>
      <c r="AE380" s="791"/>
      <c r="AF380" s="792"/>
      <c r="AG380" s="791"/>
      <c r="AH380" s="791"/>
      <c r="AI380" s="792"/>
      <c r="AJ380" s="770" t="str">
        <f t="shared" si="117"/>
        <v/>
      </c>
      <c r="AK380" s="770" t="str">
        <f t="shared" si="118"/>
        <v/>
      </c>
    </row>
    <row r="381" spans="1:38" s="773" customFormat="1" ht="24" hidden="1" customHeight="1" x14ac:dyDescent="0.15">
      <c r="A381" s="884">
        <v>359</v>
      </c>
      <c r="B381" s="972"/>
      <c r="C381" s="972"/>
      <c r="D381" s="972"/>
      <c r="E381" s="973"/>
      <c r="F381" s="973"/>
      <c r="G381" s="930"/>
      <c r="H381" s="987"/>
      <c r="I381" s="987"/>
      <c r="J381" s="930"/>
      <c r="K381" s="930"/>
      <c r="L381" s="988"/>
      <c r="M381" s="980"/>
      <c r="N381" s="991"/>
      <c r="O381" s="992"/>
      <c r="P381" s="980"/>
      <c r="Q381" s="980"/>
      <c r="R381" s="980"/>
      <c r="S381" s="982"/>
      <c r="T381" s="791"/>
      <c r="U381" s="791"/>
      <c r="V381" s="792"/>
      <c r="W381" s="791"/>
      <c r="X381" s="791"/>
      <c r="Y381" s="792"/>
      <c r="Z381" s="770"/>
      <c r="AA381" s="771"/>
      <c r="AB381" s="791"/>
      <c r="AC381" s="770"/>
      <c r="AD381" s="771"/>
      <c r="AE381" s="791"/>
      <c r="AF381" s="792"/>
      <c r="AG381" s="791"/>
      <c r="AH381" s="791"/>
      <c r="AI381" s="792"/>
      <c r="AJ381" s="770" t="str">
        <f t="shared" si="117"/>
        <v/>
      </c>
      <c r="AK381" s="770" t="str">
        <f t="shared" si="118"/>
        <v/>
      </c>
    </row>
    <row r="382" spans="1:38" s="773" customFormat="1" ht="24" hidden="1" customHeight="1" x14ac:dyDescent="0.15">
      <c r="A382" s="884">
        <v>360</v>
      </c>
      <c r="B382" s="972"/>
      <c r="C382" s="972"/>
      <c r="D382" s="972"/>
      <c r="E382" s="973"/>
      <c r="F382" s="973"/>
      <c r="G382" s="930"/>
      <c r="H382" s="987"/>
      <c r="I382" s="987"/>
      <c r="J382" s="930"/>
      <c r="K382" s="930"/>
      <c r="L382" s="988"/>
      <c r="M382" s="980"/>
      <c r="N382" s="991"/>
      <c r="O382" s="992"/>
      <c r="P382" s="980"/>
      <c r="Q382" s="980"/>
      <c r="R382" s="980"/>
      <c r="S382" s="982"/>
      <c r="T382" s="794" t="s">
        <v>37</v>
      </c>
      <c r="U382" s="794">
        <f>COUNTIF(D363:D382,"철")</f>
        <v>0</v>
      </c>
      <c r="V382" s="795">
        <f>COUNTIF(I363:I382,"철")</f>
        <v>0</v>
      </c>
      <c r="W382" s="794" t="s">
        <v>26</v>
      </c>
      <c r="X382" s="794">
        <f>SUMIF(D363:D382,"철",F363:F382)</f>
        <v>0</v>
      </c>
      <c r="Y382" s="795">
        <f>SUMIF(I363:I382,"철",K363:K382)</f>
        <v>0</v>
      </c>
      <c r="Z382" s="770">
        <f>COUNTIF(AJ363:AJ382,"철국")+COUNTIF(AJ363:AJ382,"철공")</f>
        <v>0</v>
      </c>
      <c r="AA382" s="771">
        <f>COUNTIF(AK363:AK382,"철국")+COUNTIF(AK363:AK382,"철공")</f>
        <v>0</v>
      </c>
      <c r="AB382" s="794" t="s">
        <v>26</v>
      </c>
      <c r="AC382" s="770">
        <f>SUMIF(AJ363:AJ382,"철국",F363:F382)+SUMIF(AJ363:AJ382,"철공",F363:F382)</f>
        <v>0</v>
      </c>
      <c r="AD382" s="771">
        <f>SUMIF(AK363:AK382,"철국",K363:K382)+SUMIF(AK363:AK382,"철공",K363:K382)</f>
        <v>0</v>
      </c>
      <c r="AE382" s="794"/>
      <c r="AF382" s="795"/>
      <c r="AG382" s="794"/>
      <c r="AH382" s="794"/>
      <c r="AI382" s="795"/>
      <c r="AJ382" s="770" t="str">
        <f t="shared" si="117"/>
        <v/>
      </c>
      <c r="AK382" s="770" t="str">
        <f t="shared" si="118"/>
        <v/>
      </c>
    </row>
    <row r="383" spans="1:38" s="773" customFormat="1" ht="24" hidden="1" customHeight="1" thickBot="1" x14ac:dyDescent="0.2">
      <c r="A383" s="1082" t="s">
        <v>48</v>
      </c>
      <c r="B383" s="1083"/>
      <c r="C383" s="1083"/>
      <c r="D383" s="1083"/>
      <c r="E383" s="1084"/>
      <c r="F383" s="798">
        <f>SUM(F363:F382)</f>
        <v>0</v>
      </c>
      <c r="G383" s="993"/>
      <c r="H383" s="994"/>
      <c r="I383" s="994"/>
      <c r="J383" s="993"/>
      <c r="K383" s="971">
        <f>SUM(K363:K382)</f>
        <v>0</v>
      </c>
      <c r="L383" s="995"/>
      <c r="M383" s="996"/>
      <c r="N383" s="997"/>
      <c r="O383" s="998"/>
      <c r="P383" s="996"/>
      <c r="Q383" s="996"/>
      <c r="R383" s="996"/>
      <c r="S383" s="999"/>
      <c r="T383" s="806" t="s">
        <v>24</v>
      </c>
      <c r="U383" s="807">
        <f t="shared" ref="U383:AA383" si="119">SUM(U363:U382)</f>
        <v>0</v>
      </c>
      <c r="V383" s="807">
        <f t="shared" si="119"/>
        <v>0</v>
      </c>
      <c r="W383" s="807">
        <f t="shared" si="119"/>
        <v>0</v>
      </c>
      <c r="X383" s="807">
        <f t="shared" si="119"/>
        <v>0</v>
      </c>
      <c r="Y383" s="807">
        <f t="shared" si="119"/>
        <v>0</v>
      </c>
      <c r="Z383" s="822">
        <f t="shared" si="119"/>
        <v>0</v>
      </c>
      <c r="AA383" s="823">
        <f t="shared" si="119"/>
        <v>0</v>
      </c>
      <c r="AB383" s="822" t="s">
        <v>26</v>
      </c>
      <c r="AC383" s="822">
        <f>SUM(AC363:AC382)</f>
        <v>0</v>
      </c>
      <c r="AD383" s="823">
        <f>SUM(AD363:AD382)</f>
        <v>0</v>
      </c>
      <c r="AE383" s="807">
        <f>SUM(AE363:AE382)</f>
        <v>0</v>
      </c>
      <c r="AF383" s="807">
        <f>SUM(AF363:AF382)</f>
        <v>0</v>
      </c>
      <c r="AG383" s="807" t="s">
        <v>26</v>
      </c>
      <c r="AH383" s="807">
        <f>SUM(AH363:AH382)</f>
        <v>0</v>
      </c>
      <c r="AI383" s="807">
        <f>SUM(AI363:AI382)</f>
        <v>0</v>
      </c>
      <c r="AJ383" s="807"/>
      <c r="AK383" s="755"/>
      <c r="AL383" s="772"/>
    </row>
    <row r="384" spans="1:38" s="773" customFormat="1" ht="24" hidden="1" customHeight="1" x14ac:dyDescent="0.15">
      <c r="A384" s="877">
        <v>361</v>
      </c>
      <c r="B384" s="983"/>
      <c r="C384" s="983"/>
      <c r="D384" s="983"/>
      <c r="E384" s="984"/>
      <c r="F384" s="984"/>
      <c r="G384" s="939"/>
      <c r="H384" s="1000"/>
      <c r="I384" s="1000"/>
      <c r="J384" s="939"/>
      <c r="K384" s="939"/>
      <c r="L384" s="1001"/>
      <c r="M384" s="985"/>
      <c r="N384" s="1002"/>
      <c r="O384" s="1003"/>
      <c r="P384" s="985"/>
      <c r="Q384" s="985"/>
      <c r="R384" s="985"/>
      <c r="S384" s="986"/>
      <c r="T384" s="770" t="s">
        <v>27</v>
      </c>
      <c r="U384" s="770">
        <f>COUNTIF(D384:D403,"전")</f>
        <v>0</v>
      </c>
      <c r="V384" s="771">
        <f>COUNTIF(I384:I403,"전")</f>
        <v>0</v>
      </c>
      <c r="W384" s="770" t="s">
        <v>26</v>
      </c>
      <c r="X384" s="770">
        <f>SUMIF(D384:D403,"전",F384:F403)</f>
        <v>0</v>
      </c>
      <c r="Y384" s="771">
        <f>SUMIF(I384:I403,"전",K384:K403)</f>
        <v>0</v>
      </c>
      <c r="Z384" s="770">
        <f>COUNTIF(AJ384:AJ403,"전국")+COUNTIF(AJ384:AJ403,"전공")</f>
        <v>0</v>
      </c>
      <c r="AA384" s="771">
        <f>COUNTIF(AK384:AK403,"전국")+COUNTIF(AK384:AK403,"전공")</f>
        <v>0</v>
      </c>
      <c r="AB384" s="770" t="s">
        <v>26</v>
      </c>
      <c r="AC384" s="770">
        <f>SUMIF(AJ384:AJ403,"전국",F384:F403)+SUMIF(AJ384:AJ403,"전공",F384:F403)</f>
        <v>0</v>
      </c>
      <c r="AD384" s="771">
        <f>SUMIF(AK384:AK403,"전국",K384:K403)+SUMIF(AK384:AK403,"전공",K384:K403)</f>
        <v>0</v>
      </c>
      <c r="AE384" s="770">
        <f t="shared" ref="AE384:AE400" si="120">U384-Z384</f>
        <v>0</v>
      </c>
      <c r="AF384" s="771">
        <f t="shared" ref="AF384:AF400" si="121">V384-AA384</f>
        <v>0</v>
      </c>
      <c r="AG384" s="770" t="s">
        <v>26</v>
      </c>
      <c r="AH384" s="770">
        <f t="shared" ref="AH384:AH400" si="122">X384-AC384</f>
        <v>0</v>
      </c>
      <c r="AI384" s="771">
        <f t="shared" ref="AI384:AI400" si="123">Y384-AD384</f>
        <v>0</v>
      </c>
      <c r="AJ384" s="770" t="str">
        <f t="shared" ref="AJ384:AJ403" si="124">CONCATENATE(D384,L384)</f>
        <v/>
      </c>
      <c r="AK384" s="770" t="str">
        <f t="shared" ref="AK384:AK403" si="125">CONCATENATE(I384,L384)</f>
        <v/>
      </c>
    </row>
    <row r="385" spans="1:37" s="773" customFormat="1" ht="24" hidden="1" customHeight="1" x14ac:dyDescent="0.15">
      <c r="A385" s="884">
        <v>362</v>
      </c>
      <c r="B385" s="972"/>
      <c r="C385" s="972"/>
      <c r="D385" s="972"/>
      <c r="E385" s="973"/>
      <c r="F385" s="973"/>
      <c r="G385" s="930"/>
      <c r="H385" s="987"/>
      <c r="I385" s="987"/>
      <c r="J385" s="930"/>
      <c r="K385" s="930"/>
      <c r="L385" s="988"/>
      <c r="M385" s="980"/>
      <c r="N385" s="991"/>
      <c r="O385" s="992"/>
      <c r="P385" s="980"/>
      <c r="Q385" s="980"/>
      <c r="R385" s="980"/>
      <c r="S385" s="982"/>
      <c r="T385" s="770" t="s">
        <v>28</v>
      </c>
      <c r="U385" s="770">
        <f>COUNTIF(D384:D403,"답")</f>
        <v>0</v>
      </c>
      <c r="V385" s="771">
        <f>COUNTIF(I384:I403,"답")</f>
        <v>0</v>
      </c>
      <c r="W385" s="770" t="s">
        <v>26</v>
      </c>
      <c r="X385" s="770">
        <f>SUMIF(D384:D403,"답",F384:F403)</f>
        <v>0</v>
      </c>
      <c r="Y385" s="771">
        <f>SUMIF(I384:I403,"답",K384:K403)</f>
        <v>0</v>
      </c>
      <c r="Z385" s="770">
        <f>COUNTIF(AJ384:AJ403,"답국")+COUNTIF(AJ384:AJ403,"답공")</f>
        <v>0</v>
      </c>
      <c r="AA385" s="771">
        <f>COUNTIF(AK384:AK403,"답국")+COUNTIF(AK384:AK403,"답공")</f>
        <v>0</v>
      </c>
      <c r="AB385" s="770" t="s">
        <v>26</v>
      </c>
      <c r="AC385" s="770">
        <f>SUMIF(AJ384:AJ403,"답국",F384:F403)+SUMIF(AJ384:AJ403,"답공",F384:F403)</f>
        <v>0</v>
      </c>
      <c r="AD385" s="771">
        <f>SUMIF(AK384:AK403,"답국",K384:K403)+SUMIF(AK384:AK403,"답공",K384:K403)</f>
        <v>0</v>
      </c>
      <c r="AE385" s="770">
        <f t="shared" si="120"/>
        <v>0</v>
      </c>
      <c r="AF385" s="771">
        <f t="shared" si="121"/>
        <v>0</v>
      </c>
      <c r="AG385" s="770" t="s">
        <v>26</v>
      </c>
      <c r="AH385" s="770">
        <f t="shared" si="122"/>
        <v>0</v>
      </c>
      <c r="AI385" s="771">
        <f t="shared" si="123"/>
        <v>0</v>
      </c>
      <c r="AJ385" s="770" t="str">
        <f t="shared" si="124"/>
        <v/>
      </c>
      <c r="AK385" s="770" t="str">
        <f t="shared" si="125"/>
        <v/>
      </c>
    </row>
    <row r="386" spans="1:37" s="773" customFormat="1" ht="24" hidden="1" customHeight="1" x14ac:dyDescent="0.15">
      <c r="A386" s="884">
        <v>363</v>
      </c>
      <c r="B386" s="972"/>
      <c r="C386" s="972"/>
      <c r="D386" s="972"/>
      <c r="E386" s="973"/>
      <c r="F386" s="973"/>
      <c r="G386" s="930"/>
      <c r="H386" s="987"/>
      <c r="I386" s="987"/>
      <c r="J386" s="930"/>
      <c r="K386" s="930"/>
      <c r="L386" s="988"/>
      <c r="M386" s="980"/>
      <c r="N386" s="991"/>
      <c r="O386" s="992"/>
      <c r="P386" s="980"/>
      <c r="Q386" s="980"/>
      <c r="R386" s="980"/>
      <c r="S386" s="982"/>
      <c r="T386" s="770" t="s">
        <v>44</v>
      </c>
      <c r="U386" s="770">
        <f>COUNTIF(D384:D403,"임")</f>
        <v>0</v>
      </c>
      <c r="V386" s="771">
        <f>COUNTIF(I384:I403,"임")</f>
        <v>0</v>
      </c>
      <c r="W386" s="770" t="s">
        <v>26</v>
      </c>
      <c r="X386" s="770">
        <f>SUMIF(D384:D403,"임",F384:F403)</f>
        <v>0</v>
      </c>
      <c r="Y386" s="771">
        <f>SUMIF(I384:I403,"임",K384:K403)</f>
        <v>0</v>
      </c>
      <c r="Z386" s="770">
        <f>COUNTIF(AJ384:AJ403,"임국")+COUNTIF(AJ384:AJ403,"임공")</f>
        <v>0</v>
      </c>
      <c r="AA386" s="771">
        <f>COUNTIF(AK384:AK403,"임국")+COUNTIF(AK384:AK403,"임공")</f>
        <v>0</v>
      </c>
      <c r="AB386" s="770" t="s">
        <v>26</v>
      </c>
      <c r="AC386" s="770">
        <f>SUMIF(AJ384:AJ403,"임국",F384:F403)+SUMIF(AJ384:AJ403,"임공",F384:F403)</f>
        <v>0</v>
      </c>
      <c r="AD386" s="771">
        <f>SUMIF(AK384:AK403,"임국",K384:K403)+SUMIF(AK384:AK403,"임공",K384:K403)</f>
        <v>0</v>
      </c>
      <c r="AE386" s="770">
        <f t="shared" si="120"/>
        <v>0</v>
      </c>
      <c r="AF386" s="771">
        <f t="shared" si="121"/>
        <v>0</v>
      </c>
      <c r="AG386" s="770" t="s">
        <v>26</v>
      </c>
      <c r="AH386" s="770">
        <f t="shared" si="122"/>
        <v>0</v>
      </c>
      <c r="AI386" s="771">
        <f t="shared" si="123"/>
        <v>0</v>
      </c>
      <c r="AJ386" s="770" t="str">
        <f t="shared" si="124"/>
        <v/>
      </c>
      <c r="AK386" s="770" t="str">
        <f t="shared" si="125"/>
        <v/>
      </c>
    </row>
    <row r="387" spans="1:37" s="773" customFormat="1" ht="24" hidden="1" customHeight="1" x14ac:dyDescent="0.15">
      <c r="A387" s="884">
        <v>364</v>
      </c>
      <c r="B387" s="972"/>
      <c r="C387" s="972"/>
      <c r="D387" s="972"/>
      <c r="E387" s="973"/>
      <c r="F387" s="973"/>
      <c r="G387" s="930"/>
      <c r="H387" s="987"/>
      <c r="I387" s="987"/>
      <c r="J387" s="930"/>
      <c r="K387" s="930"/>
      <c r="L387" s="988"/>
      <c r="M387" s="980"/>
      <c r="N387" s="991"/>
      <c r="O387" s="992"/>
      <c r="P387" s="980"/>
      <c r="Q387" s="980"/>
      <c r="R387" s="980"/>
      <c r="S387" s="982"/>
      <c r="T387" s="770" t="s">
        <v>45</v>
      </c>
      <c r="U387" s="770">
        <f>COUNTIF(D384:D403,"대")</f>
        <v>0</v>
      </c>
      <c r="V387" s="771">
        <f>COUNTIF(I384:I403,"대")</f>
        <v>0</v>
      </c>
      <c r="W387" s="770" t="s">
        <v>26</v>
      </c>
      <c r="X387" s="770">
        <f>SUMIF(D384:D403,"대",F384:F403)</f>
        <v>0</v>
      </c>
      <c r="Y387" s="771">
        <f>SUMIF(I384:I403,"대",K384:K403)</f>
        <v>0</v>
      </c>
      <c r="Z387" s="770">
        <f>COUNTIF(AJ384:AJ403,"대국")+COUNTIF(AJ384:AJ403,"대공")</f>
        <v>0</v>
      </c>
      <c r="AA387" s="771">
        <f>COUNTIF(AK384:AK403,"대국")+COUNTIF(AK384:AK403,"대공")</f>
        <v>0</v>
      </c>
      <c r="AB387" s="770" t="s">
        <v>26</v>
      </c>
      <c r="AC387" s="770">
        <f>SUMIF(AJ384:AJ403,"대국",F384:F403)+SUMIF(AJ384:AJ403,"대공",F384:F403)</f>
        <v>0</v>
      </c>
      <c r="AD387" s="771">
        <f>SUMIF(AK384:AK403,"대국",K384:K403)+SUMIF(AK384:AK403,"대공",K384:K403)</f>
        <v>0</v>
      </c>
      <c r="AE387" s="770">
        <f t="shared" si="120"/>
        <v>0</v>
      </c>
      <c r="AF387" s="771">
        <f t="shared" si="121"/>
        <v>0</v>
      </c>
      <c r="AG387" s="770" t="s">
        <v>26</v>
      </c>
      <c r="AH387" s="770">
        <f t="shared" si="122"/>
        <v>0</v>
      </c>
      <c r="AI387" s="771">
        <f t="shared" si="123"/>
        <v>0</v>
      </c>
      <c r="AJ387" s="770" t="str">
        <f t="shared" si="124"/>
        <v/>
      </c>
      <c r="AK387" s="770" t="str">
        <f t="shared" si="125"/>
        <v/>
      </c>
    </row>
    <row r="388" spans="1:37" s="773" customFormat="1" ht="24" hidden="1" customHeight="1" x14ac:dyDescent="0.15">
      <c r="A388" s="884">
        <v>365</v>
      </c>
      <c r="B388" s="972"/>
      <c r="C388" s="972"/>
      <c r="D388" s="972"/>
      <c r="E388" s="973"/>
      <c r="F388" s="973"/>
      <c r="G388" s="930"/>
      <c r="H388" s="987"/>
      <c r="I388" s="987"/>
      <c r="J388" s="930"/>
      <c r="K388" s="930"/>
      <c r="L388" s="988"/>
      <c r="M388" s="980"/>
      <c r="N388" s="991"/>
      <c r="O388" s="992"/>
      <c r="P388" s="980"/>
      <c r="Q388" s="980"/>
      <c r="R388" s="980"/>
      <c r="S388" s="982"/>
      <c r="T388" s="770" t="s">
        <v>31</v>
      </c>
      <c r="U388" s="770">
        <f>COUNTIF(D384:D403,"도")</f>
        <v>0</v>
      </c>
      <c r="V388" s="771">
        <f>COUNTIF(I384:I403,"도")</f>
        <v>0</v>
      </c>
      <c r="W388" s="770" t="s">
        <v>26</v>
      </c>
      <c r="X388" s="770">
        <f>SUMIF(D384:D403,"도",F384:F403)</f>
        <v>0</v>
      </c>
      <c r="Y388" s="771">
        <f>SUMIF(I384:I403,"도",K384:K403)</f>
        <v>0</v>
      </c>
      <c r="Z388" s="770">
        <f>COUNTIF(AJ384:AJ403,"도국")+COUNTIF(AJ384:AJ403,"도공")</f>
        <v>0</v>
      </c>
      <c r="AA388" s="771">
        <f>COUNTIF(AK384:AK403,"도국")+COUNTIF(AK384:AK403,"도공")</f>
        <v>0</v>
      </c>
      <c r="AB388" s="770" t="s">
        <v>26</v>
      </c>
      <c r="AC388" s="770">
        <f>SUMIF(AJ384:AJ403,"도국",F384:F403)+SUMIF(AJ384:AJ403,"도공",F384:F403)</f>
        <v>0</v>
      </c>
      <c r="AD388" s="771">
        <f>SUMIF(AK384:AK403,"도국",K384:K403)+SUMIF(AK384:AK403,"도공",K384:K403)</f>
        <v>0</v>
      </c>
      <c r="AE388" s="770">
        <f t="shared" si="120"/>
        <v>0</v>
      </c>
      <c r="AF388" s="771">
        <f t="shared" si="121"/>
        <v>0</v>
      </c>
      <c r="AG388" s="770" t="s">
        <v>26</v>
      </c>
      <c r="AH388" s="770">
        <f t="shared" si="122"/>
        <v>0</v>
      </c>
      <c r="AI388" s="771">
        <f t="shared" si="123"/>
        <v>0</v>
      </c>
      <c r="AJ388" s="770" t="str">
        <f t="shared" si="124"/>
        <v/>
      </c>
      <c r="AK388" s="770" t="str">
        <f t="shared" si="125"/>
        <v/>
      </c>
    </row>
    <row r="389" spans="1:37" s="773" customFormat="1" ht="24" hidden="1" customHeight="1" x14ac:dyDescent="0.15">
      <c r="A389" s="884">
        <v>366</v>
      </c>
      <c r="B389" s="972"/>
      <c r="C389" s="972"/>
      <c r="D389" s="972"/>
      <c r="E389" s="973"/>
      <c r="F389" s="973"/>
      <c r="G389" s="930"/>
      <c r="H389" s="987"/>
      <c r="I389" s="987"/>
      <c r="J389" s="930"/>
      <c r="K389" s="930"/>
      <c r="L389" s="988"/>
      <c r="M389" s="980"/>
      <c r="N389" s="991"/>
      <c r="O389" s="992"/>
      <c r="P389" s="980"/>
      <c r="Q389" s="980"/>
      <c r="R389" s="980"/>
      <c r="S389" s="982"/>
      <c r="T389" s="770" t="s">
        <v>32</v>
      </c>
      <c r="U389" s="786">
        <f>COUNTIF(D384:D403,"천")</f>
        <v>0</v>
      </c>
      <c r="V389" s="787">
        <f>COUNTIF(I384:I403,"천")</f>
        <v>0</v>
      </c>
      <c r="W389" s="770" t="s">
        <v>26</v>
      </c>
      <c r="X389" s="770">
        <f>SUMIF(D384:D403,"천",F384:F403)</f>
        <v>0</v>
      </c>
      <c r="Y389" s="771">
        <f>SUMIF(I384:I403,"천",K384:K403)</f>
        <v>0</v>
      </c>
      <c r="Z389" s="770">
        <f>COUNTIF(AJ384:AJ403,"천국")+COUNTIF(AJ384:AJ403,"천공")</f>
        <v>0</v>
      </c>
      <c r="AA389" s="771">
        <f>COUNTIF(AK384:AK403,"천국")+COUNTIF(AK384:AK403,"천공")</f>
        <v>0</v>
      </c>
      <c r="AB389" s="770" t="s">
        <v>26</v>
      </c>
      <c r="AC389" s="770">
        <f>SUMIF(AJ384:AJ403,"천국",F384:F403)+SUMIF(AJ384:AJ403,"천공",F384:F403)</f>
        <v>0</v>
      </c>
      <c r="AD389" s="771">
        <f>SUMIF(AK384:AK403,"천국",K384:K403)+SUMIF(AK384:AK403,"천공",K384:K403)</f>
        <v>0</v>
      </c>
      <c r="AE389" s="770">
        <f t="shared" si="120"/>
        <v>0</v>
      </c>
      <c r="AF389" s="771">
        <f t="shared" si="121"/>
        <v>0</v>
      </c>
      <c r="AG389" s="770" t="s">
        <v>26</v>
      </c>
      <c r="AH389" s="770">
        <f t="shared" si="122"/>
        <v>0</v>
      </c>
      <c r="AI389" s="771">
        <f t="shared" si="123"/>
        <v>0</v>
      </c>
      <c r="AJ389" s="770" t="str">
        <f t="shared" si="124"/>
        <v/>
      </c>
      <c r="AK389" s="770" t="str">
        <f t="shared" si="125"/>
        <v/>
      </c>
    </row>
    <row r="390" spans="1:37" s="773" customFormat="1" ht="24" hidden="1" customHeight="1" x14ac:dyDescent="0.15">
      <c r="A390" s="884">
        <v>367</v>
      </c>
      <c r="B390" s="972"/>
      <c r="C390" s="972"/>
      <c r="D390" s="972"/>
      <c r="E390" s="973"/>
      <c r="F390" s="973"/>
      <c r="G390" s="930"/>
      <c r="H390" s="987"/>
      <c r="I390" s="987"/>
      <c r="J390" s="930"/>
      <c r="K390" s="930"/>
      <c r="L390" s="988"/>
      <c r="M390" s="980"/>
      <c r="N390" s="991"/>
      <c r="O390" s="992"/>
      <c r="P390" s="980"/>
      <c r="Q390" s="980"/>
      <c r="R390" s="980"/>
      <c r="S390" s="982"/>
      <c r="T390" s="770" t="s">
        <v>33</v>
      </c>
      <c r="U390" s="770">
        <f>COUNTIF(D384:D403,"구")</f>
        <v>0</v>
      </c>
      <c r="V390" s="771">
        <f>COUNTIF(I384:I403,"구")</f>
        <v>0</v>
      </c>
      <c r="W390" s="770" t="s">
        <v>26</v>
      </c>
      <c r="X390" s="770">
        <f>SUMIF(D384:D403,"구",F384:F403)</f>
        <v>0</v>
      </c>
      <c r="Y390" s="771">
        <f>SUMIF(I384:I403,"구",K384:K403)</f>
        <v>0</v>
      </c>
      <c r="Z390" s="770">
        <f>COUNTIF(AJ384:AJ403,"구국")+COUNTIF(AJ384:AJ403,"구공")</f>
        <v>0</v>
      </c>
      <c r="AA390" s="771">
        <f>COUNTIF(AK384:AK403,"구국")+COUNTIF(AK384:AK403,"구공")</f>
        <v>0</v>
      </c>
      <c r="AB390" s="770" t="s">
        <v>26</v>
      </c>
      <c r="AC390" s="770">
        <f>SUMIF(AJ384:AJ403,"구국",F384:F403)+SUMIF(AJ384:AJ403,"구공",F384:F403)</f>
        <v>0</v>
      </c>
      <c r="AD390" s="771">
        <f>SUMIF(AK384:AK403,"구국",K384:K403)+SUMIF(AK384:AK403,"구공",K384:K403)</f>
        <v>0</v>
      </c>
      <c r="AE390" s="770">
        <f t="shared" si="120"/>
        <v>0</v>
      </c>
      <c r="AF390" s="771">
        <f t="shared" si="121"/>
        <v>0</v>
      </c>
      <c r="AG390" s="770" t="s">
        <v>26</v>
      </c>
      <c r="AH390" s="770">
        <f t="shared" si="122"/>
        <v>0</v>
      </c>
      <c r="AI390" s="771">
        <f t="shared" si="123"/>
        <v>0</v>
      </c>
      <c r="AJ390" s="770" t="str">
        <f t="shared" si="124"/>
        <v/>
      </c>
      <c r="AK390" s="770" t="str">
        <f t="shared" si="125"/>
        <v/>
      </c>
    </row>
    <row r="391" spans="1:37" s="773" customFormat="1" ht="24" hidden="1" customHeight="1" x14ac:dyDescent="0.15">
      <c r="A391" s="884">
        <v>368</v>
      </c>
      <c r="B391" s="972"/>
      <c r="C391" s="972"/>
      <c r="D391" s="972"/>
      <c r="E391" s="973"/>
      <c r="F391" s="973"/>
      <c r="G391" s="930"/>
      <c r="H391" s="987"/>
      <c r="I391" s="987"/>
      <c r="J391" s="930"/>
      <c r="K391" s="930"/>
      <c r="L391" s="988"/>
      <c r="M391" s="980"/>
      <c r="N391" s="991"/>
      <c r="O391" s="992"/>
      <c r="P391" s="980"/>
      <c r="Q391" s="980"/>
      <c r="R391" s="980"/>
      <c r="S391" s="982"/>
      <c r="T391" s="770" t="s">
        <v>34</v>
      </c>
      <c r="U391" s="770">
        <f>COUNTIF(D384:D403,"제")</f>
        <v>0</v>
      </c>
      <c r="V391" s="771">
        <f>COUNTIF(I384:I403,"제")</f>
        <v>0</v>
      </c>
      <c r="W391" s="770" t="s">
        <v>26</v>
      </c>
      <c r="X391" s="770">
        <f>SUMIF(D384:D403,"제",F384:F403)</f>
        <v>0</v>
      </c>
      <c r="Y391" s="771">
        <f>SUMIF(I384:I403,"제",K384:K403)</f>
        <v>0</v>
      </c>
      <c r="Z391" s="770">
        <f>COUNTIF(AJ384:AJ403,"제국")+COUNTIF(AJ384:AJ403,"제공")</f>
        <v>0</v>
      </c>
      <c r="AA391" s="771">
        <f>COUNTIF(AK384:AK403,"제국")+COUNTIF(AK384:AK403,"제공")</f>
        <v>0</v>
      </c>
      <c r="AB391" s="770" t="s">
        <v>26</v>
      </c>
      <c r="AC391" s="770">
        <f>SUMIF(AJ384:AJ403,"제국",F384:F403)+SUMIF(AJ384:AJ403,"제공",F384:F403)</f>
        <v>0</v>
      </c>
      <c r="AD391" s="771">
        <f>SUMIF(AK384:AK403,"제국",K384:K403)+SUMIF(AK384:AK403,"제공",K384:K403)</f>
        <v>0</v>
      </c>
      <c r="AE391" s="770">
        <f t="shared" si="120"/>
        <v>0</v>
      </c>
      <c r="AF391" s="771">
        <f t="shared" si="121"/>
        <v>0</v>
      </c>
      <c r="AG391" s="770" t="s">
        <v>26</v>
      </c>
      <c r="AH391" s="770">
        <f t="shared" si="122"/>
        <v>0</v>
      </c>
      <c r="AI391" s="771">
        <f t="shared" si="123"/>
        <v>0</v>
      </c>
      <c r="AJ391" s="770" t="str">
        <f t="shared" si="124"/>
        <v/>
      </c>
      <c r="AK391" s="770" t="str">
        <f t="shared" si="125"/>
        <v/>
      </c>
    </row>
    <row r="392" spans="1:37" s="773" customFormat="1" ht="24" hidden="1" customHeight="1" x14ac:dyDescent="0.15">
      <c r="A392" s="884">
        <v>369</v>
      </c>
      <c r="B392" s="972"/>
      <c r="C392" s="972"/>
      <c r="D392" s="972"/>
      <c r="E392" s="973"/>
      <c r="F392" s="973"/>
      <c r="G392" s="930"/>
      <c r="H392" s="987"/>
      <c r="I392" s="987"/>
      <c r="J392" s="930"/>
      <c r="K392" s="930"/>
      <c r="L392" s="988"/>
      <c r="M392" s="980"/>
      <c r="N392" s="991"/>
      <c r="O392" s="992"/>
      <c r="P392" s="980"/>
      <c r="Q392" s="980"/>
      <c r="R392" s="980"/>
      <c r="S392" s="982"/>
      <c r="T392" s="770" t="s">
        <v>46</v>
      </c>
      <c r="U392" s="770">
        <f>COUNTIF(D384:D403,"유")</f>
        <v>0</v>
      </c>
      <c r="V392" s="771">
        <f>COUNTIF(I384:I403,"유")</f>
        <v>0</v>
      </c>
      <c r="W392" s="770" t="s">
        <v>26</v>
      </c>
      <c r="X392" s="770">
        <f>SUMIF(D384:D403,"유",F384:F403)</f>
        <v>0</v>
      </c>
      <c r="Y392" s="771">
        <f>SUMIF(I384:I403,"유",K384:K403)</f>
        <v>0</v>
      </c>
      <c r="Z392" s="770">
        <f>COUNTIF(AJ384:AJ403,"유국")+COUNTIF(AJ384:AJ403,"유공")</f>
        <v>0</v>
      </c>
      <c r="AA392" s="771">
        <f>COUNTIF(AK384:AK403,"유국")+COUNTIF(AK384:AK403,"유공")</f>
        <v>0</v>
      </c>
      <c r="AB392" s="770" t="s">
        <v>26</v>
      </c>
      <c r="AC392" s="770">
        <f>SUMIF(AJ384:AJ403,"유국",F384:F403)+SUMIF(AJ384:AJ403,"유공",F384:F403)</f>
        <v>0</v>
      </c>
      <c r="AD392" s="771">
        <f>SUMIF(AK384:AK403,"유국",K384:K403)+SUMIF(AK384:AK403,"유공",K384:K403)</f>
        <v>0</v>
      </c>
      <c r="AE392" s="770">
        <f t="shared" si="120"/>
        <v>0</v>
      </c>
      <c r="AF392" s="771">
        <f t="shared" si="121"/>
        <v>0</v>
      </c>
      <c r="AG392" s="770" t="s">
        <v>26</v>
      </c>
      <c r="AH392" s="770">
        <f t="shared" si="122"/>
        <v>0</v>
      </c>
      <c r="AI392" s="771">
        <f t="shared" si="123"/>
        <v>0</v>
      </c>
      <c r="AJ392" s="770" t="str">
        <f t="shared" si="124"/>
        <v/>
      </c>
      <c r="AK392" s="770" t="str">
        <f t="shared" si="125"/>
        <v/>
      </c>
    </row>
    <row r="393" spans="1:37" s="773" customFormat="1" ht="24" hidden="1" customHeight="1" x14ac:dyDescent="0.15">
      <c r="A393" s="884">
        <v>370</v>
      </c>
      <c r="B393" s="972"/>
      <c r="C393" s="972"/>
      <c r="D393" s="972"/>
      <c r="E393" s="973"/>
      <c r="F393" s="973"/>
      <c r="G393" s="930"/>
      <c r="H393" s="987"/>
      <c r="I393" s="987"/>
      <c r="J393" s="930"/>
      <c r="K393" s="930"/>
      <c r="L393" s="988"/>
      <c r="M393" s="980"/>
      <c r="N393" s="991"/>
      <c r="O393" s="992"/>
      <c r="P393" s="980"/>
      <c r="Q393" s="980"/>
      <c r="R393" s="980"/>
      <c r="S393" s="982"/>
      <c r="T393" s="770" t="s">
        <v>47</v>
      </c>
      <c r="U393" s="770">
        <f>COUNTIF(D384:D403,"과")</f>
        <v>0</v>
      </c>
      <c r="V393" s="771">
        <f>COUNTIF(I384:I403,"과")</f>
        <v>0</v>
      </c>
      <c r="W393" s="770" t="s">
        <v>26</v>
      </c>
      <c r="X393" s="770">
        <f>SUMIF(D384:D403,"과",F384:F403)</f>
        <v>0</v>
      </c>
      <c r="Y393" s="771">
        <f>SUMIF(I384:I403,"과",K384:K403)</f>
        <v>0</v>
      </c>
      <c r="Z393" s="770">
        <f>COUNTIF(AJ384:AJ403,"과국")+COUNTIF(AJ384:AJ403,"과공")</f>
        <v>0</v>
      </c>
      <c r="AA393" s="771">
        <f>COUNTIF(AK384:AK403,"과국")+COUNTIF(AK384:AK403,"과공")</f>
        <v>0</v>
      </c>
      <c r="AB393" s="770" t="s">
        <v>26</v>
      </c>
      <c r="AC393" s="770">
        <f>SUMIF(AJ384:AJ403,"과국",F384:F403)+SUMIF(AJ384:AJ403,"과공",F384:F403)</f>
        <v>0</v>
      </c>
      <c r="AD393" s="771">
        <f>SUMIF(AK384:AK403,"과국",K384:K403)+SUMIF(AK384:AK403,"과공",K384:K403)</f>
        <v>0</v>
      </c>
      <c r="AE393" s="770">
        <f t="shared" si="120"/>
        <v>0</v>
      </c>
      <c r="AF393" s="771">
        <f t="shared" si="121"/>
        <v>0</v>
      </c>
      <c r="AG393" s="770" t="s">
        <v>26</v>
      </c>
      <c r="AH393" s="770">
        <f t="shared" si="122"/>
        <v>0</v>
      </c>
      <c r="AI393" s="771">
        <f t="shared" si="123"/>
        <v>0</v>
      </c>
      <c r="AJ393" s="770" t="str">
        <f t="shared" si="124"/>
        <v/>
      </c>
      <c r="AK393" s="770" t="str">
        <f t="shared" si="125"/>
        <v/>
      </c>
    </row>
    <row r="394" spans="1:37" s="773" customFormat="1" ht="24" hidden="1" customHeight="1" x14ac:dyDescent="0.15">
      <c r="A394" s="884">
        <v>371</v>
      </c>
      <c r="B394" s="972"/>
      <c r="C394" s="972"/>
      <c r="D394" s="972"/>
      <c r="E394" s="973"/>
      <c r="F394" s="973"/>
      <c r="G394" s="930"/>
      <c r="H394" s="987"/>
      <c r="I394" s="987"/>
      <c r="J394" s="930"/>
      <c r="K394" s="930"/>
      <c r="L394" s="988"/>
      <c r="M394" s="980"/>
      <c r="N394" s="991"/>
      <c r="O394" s="992"/>
      <c r="P394" s="980"/>
      <c r="Q394" s="980"/>
      <c r="R394" s="980"/>
      <c r="S394" s="982"/>
      <c r="T394" s="770" t="s">
        <v>36</v>
      </c>
      <c r="U394" s="770">
        <f>COUNTIF(D384:D403,"묘")</f>
        <v>0</v>
      </c>
      <c r="V394" s="771">
        <f>COUNTIF(I384:I403,"묘")</f>
        <v>0</v>
      </c>
      <c r="W394" s="770" t="s">
        <v>26</v>
      </c>
      <c r="X394" s="770">
        <f>SUMIF(D384:D403,"묘",F384:F403)</f>
        <v>0</v>
      </c>
      <c r="Y394" s="771">
        <f>SUMIF(I384:I403,"묘",K384:K403)</f>
        <v>0</v>
      </c>
      <c r="Z394" s="770">
        <f>COUNTIF(AJ384:AJ403,"묘국")+COUNTIF(AJ384:AJ403,"묘공")</f>
        <v>0</v>
      </c>
      <c r="AA394" s="771">
        <f>COUNTIF(AK384:AK403,"묘국")+COUNTIF(AK384:AK403,"묘공")</f>
        <v>0</v>
      </c>
      <c r="AB394" s="770" t="s">
        <v>26</v>
      </c>
      <c r="AC394" s="770">
        <f>SUMIF(AJ384:AJ403,"묘국",F384:F403)+SUMIF(AJ384:AJ403,"묘공",F384:F403)</f>
        <v>0</v>
      </c>
      <c r="AD394" s="771">
        <f>SUMIF(AK384:AK403,"묘국",K384:K403)+SUMIF(AK384:AK403,"묘공",K384:K403)</f>
        <v>0</v>
      </c>
      <c r="AE394" s="770">
        <f t="shared" si="120"/>
        <v>0</v>
      </c>
      <c r="AF394" s="771">
        <f t="shared" si="121"/>
        <v>0</v>
      </c>
      <c r="AG394" s="770" t="s">
        <v>26</v>
      </c>
      <c r="AH394" s="770">
        <f t="shared" si="122"/>
        <v>0</v>
      </c>
      <c r="AI394" s="771">
        <f t="shared" si="123"/>
        <v>0</v>
      </c>
      <c r="AJ394" s="770" t="str">
        <f t="shared" si="124"/>
        <v/>
      </c>
      <c r="AK394" s="770" t="str">
        <f t="shared" si="125"/>
        <v/>
      </c>
    </row>
    <row r="395" spans="1:37" s="773" customFormat="1" ht="24" hidden="1" customHeight="1" x14ac:dyDescent="0.15">
      <c r="A395" s="884">
        <v>372</v>
      </c>
      <c r="B395" s="972"/>
      <c r="C395" s="972"/>
      <c r="D395" s="972"/>
      <c r="E395" s="973"/>
      <c r="F395" s="973"/>
      <c r="G395" s="930"/>
      <c r="H395" s="987"/>
      <c r="I395" s="987"/>
      <c r="J395" s="930"/>
      <c r="K395" s="930"/>
      <c r="L395" s="988"/>
      <c r="M395" s="980"/>
      <c r="N395" s="991"/>
      <c r="O395" s="992"/>
      <c r="P395" s="980"/>
      <c r="Q395" s="980"/>
      <c r="R395" s="980"/>
      <c r="S395" s="982"/>
      <c r="T395" s="770" t="s">
        <v>39</v>
      </c>
      <c r="U395" s="770">
        <f>COUNTIF(D384:D403,"수")</f>
        <v>0</v>
      </c>
      <c r="V395" s="771">
        <f>COUNTIF(I384:I403,"수")</f>
        <v>0</v>
      </c>
      <c r="W395" s="770" t="s">
        <v>26</v>
      </c>
      <c r="X395" s="770">
        <f>SUMIF(D384:D403,"수",F384:F403)</f>
        <v>0</v>
      </c>
      <c r="Y395" s="771">
        <f>SUMIF(I384:I403,"수",K384:K403)</f>
        <v>0</v>
      </c>
      <c r="Z395" s="770">
        <f>COUNTIF(AJ384:AJ403,"수국")+COUNTIF(AJ384:AJ403,"수공")</f>
        <v>0</v>
      </c>
      <c r="AA395" s="771">
        <f>COUNTIF(AK384:AK403,"수국")+COUNTIF(AK384:AK403,"수공")</f>
        <v>0</v>
      </c>
      <c r="AB395" s="770" t="s">
        <v>26</v>
      </c>
      <c r="AC395" s="770">
        <f>SUMIF(AJ384:AJ403,"수국",F384:F403)+SUMIF(AJ384:AJ403,"수공",F384:F403)</f>
        <v>0</v>
      </c>
      <c r="AD395" s="771">
        <f>SUMIF(AK384:AK403,"수국",K384:K403)+SUMIF(AK384:AK403,"수공",K384:K403)</f>
        <v>0</v>
      </c>
      <c r="AE395" s="770">
        <f t="shared" si="120"/>
        <v>0</v>
      </c>
      <c r="AF395" s="771">
        <f t="shared" si="121"/>
        <v>0</v>
      </c>
      <c r="AG395" s="770" t="s">
        <v>26</v>
      </c>
      <c r="AH395" s="770">
        <f t="shared" si="122"/>
        <v>0</v>
      </c>
      <c r="AI395" s="771">
        <f t="shared" si="123"/>
        <v>0</v>
      </c>
      <c r="AJ395" s="770" t="str">
        <f t="shared" si="124"/>
        <v/>
      </c>
      <c r="AK395" s="770" t="str">
        <f t="shared" si="125"/>
        <v/>
      </c>
    </row>
    <row r="396" spans="1:37" s="773" customFormat="1" ht="24" hidden="1" customHeight="1" x14ac:dyDescent="0.15">
      <c r="A396" s="884">
        <v>373</v>
      </c>
      <c r="B396" s="972"/>
      <c r="C396" s="972"/>
      <c r="D396" s="972"/>
      <c r="E396" s="973"/>
      <c r="F396" s="973"/>
      <c r="G396" s="930"/>
      <c r="H396" s="987"/>
      <c r="I396" s="987"/>
      <c r="J396" s="930"/>
      <c r="K396" s="930"/>
      <c r="L396" s="988"/>
      <c r="M396" s="980"/>
      <c r="N396" s="991"/>
      <c r="O396" s="992"/>
      <c r="P396" s="980"/>
      <c r="Q396" s="980"/>
      <c r="R396" s="980"/>
      <c r="S396" s="982"/>
      <c r="T396" s="770" t="s">
        <v>35</v>
      </c>
      <c r="U396" s="770">
        <f>COUNTIF(D384:D403,"잡")</f>
        <v>0</v>
      </c>
      <c r="V396" s="771">
        <f>COUNTIF(I384:I403,"잡")</f>
        <v>0</v>
      </c>
      <c r="W396" s="770" t="s">
        <v>26</v>
      </c>
      <c r="X396" s="770">
        <f>SUMIF(D384:D403,"잡",F384:F403)</f>
        <v>0</v>
      </c>
      <c r="Y396" s="771">
        <f>SUMIF(I384:I403,"잡",K384:K403)</f>
        <v>0</v>
      </c>
      <c r="Z396" s="770">
        <f>COUNTIF(AJ384:AJ403,"잡국")+COUNTIF(AJ384:AJ403,"잡공")</f>
        <v>0</v>
      </c>
      <c r="AA396" s="771">
        <f>COUNTIF(AK384:AK403,"잡국")+COUNTIF(AK384:AK403,"잡공")</f>
        <v>0</v>
      </c>
      <c r="AB396" s="770" t="s">
        <v>26</v>
      </c>
      <c r="AC396" s="770">
        <f>SUMIF(AJ384:AJ403,"잡국",F384:F403)+SUMIF(AJ384:AJ403,"잡공",F384:F403)</f>
        <v>0</v>
      </c>
      <c r="AD396" s="771">
        <f>SUMIF(AK384:AK403,"잡국",K384:K403)+SUMIF(AK384:AK403,"잡공",K384:K403)</f>
        <v>0</v>
      </c>
      <c r="AE396" s="770">
        <f t="shared" si="120"/>
        <v>0</v>
      </c>
      <c r="AF396" s="771">
        <f t="shared" si="121"/>
        <v>0</v>
      </c>
      <c r="AG396" s="770" t="s">
        <v>26</v>
      </c>
      <c r="AH396" s="770">
        <f t="shared" si="122"/>
        <v>0</v>
      </c>
      <c r="AI396" s="771">
        <f t="shared" si="123"/>
        <v>0</v>
      </c>
      <c r="AJ396" s="770" t="str">
        <f t="shared" si="124"/>
        <v/>
      </c>
      <c r="AK396" s="770" t="str">
        <f t="shared" si="125"/>
        <v/>
      </c>
    </row>
    <row r="397" spans="1:37" s="773" customFormat="1" ht="24" hidden="1" customHeight="1" x14ac:dyDescent="0.15">
      <c r="A397" s="884">
        <v>374</v>
      </c>
      <c r="B397" s="972"/>
      <c r="C397" s="972"/>
      <c r="D397" s="972"/>
      <c r="E397" s="973"/>
      <c r="F397" s="973"/>
      <c r="G397" s="930"/>
      <c r="H397" s="987"/>
      <c r="I397" s="987"/>
      <c r="J397" s="930"/>
      <c r="K397" s="930"/>
      <c r="L397" s="988"/>
      <c r="M397" s="980"/>
      <c r="N397" s="991"/>
      <c r="O397" s="992"/>
      <c r="P397" s="980"/>
      <c r="Q397" s="980"/>
      <c r="R397" s="980"/>
      <c r="S397" s="982"/>
      <c r="T397" s="770" t="s">
        <v>51</v>
      </c>
      <c r="U397" s="770">
        <f>COUNTIF(D384:D403,"체")</f>
        <v>0</v>
      </c>
      <c r="V397" s="771">
        <f>COUNTIF(I384:I403,"체")</f>
        <v>0</v>
      </c>
      <c r="W397" s="770" t="s">
        <v>26</v>
      </c>
      <c r="X397" s="770">
        <f>SUMIF(D384:D403,"체",F384:F403)</f>
        <v>0</v>
      </c>
      <c r="Y397" s="771">
        <f>SUMIF(I384:I403,"체",K384:K403)</f>
        <v>0</v>
      </c>
      <c r="Z397" s="770">
        <f>COUNTIF(AJ384:AJ403,"체국")+COUNTIF(AJ384:AJ403,"체공")</f>
        <v>0</v>
      </c>
      <c r="AA397" s="771">
        <f>COUNTIF(AK384:AK403,"체국")+COUNTIF(AK384:AK403,"체공")</f>
        <v>0</v>
      </c>
      <c r="AB397" s="770" t="s">
        <v>26</v>
      </c>
      <c r="AC397" s="770">
        <f>SUMIF(AJ384:AJ403,"체국",F384:F403)+SUMIF(AJ384:AJ403,"체공",F384:F403)</f>
        <v>0</v>
      </c>
      <c r="AD397" s="771">
        <f>SUMIF(AK384:AK403,"체국",K384:K403)+SUMIF(AK384:AK403,"체공",K384:K403)</f>
        <v>0</v>
      </c>
      <c r="AE397" s="770">
        <f t="shared" si="120"/>
        <v>0</v>
      </c>
      <c r="AF397" s="771">
        <f t="shared" si="121"/>
        <v>0</v>
      </c>
      <c r="AG397" s="770" t="s">
        <v>26</v>
      </c>
      <c r="AH397" s="770">
        <f t="shared" si="122"/>
        <v>0</v>
      </c>
      <c r="AI397" s="771">
        <f t="shared" si="123"/>
        <v>0</v>
      </c>
      <c r="AJ397" s="770" t="str">
        <f t="shared" si="124"/>
        <v/>
      </c>
      <c r="AK397" s="770" t="str">
        <f t="shared" si="125"/>
        <v/>
      </c>
    </row>
    <row r="398" spans="1:37" s="773" customFormat="1" ht="24" hidden="1" customHeight="1" x14ac:dyDescent="0.15">
      <c r="A398" s="884">
        <v>375</v>
      </c>
      <c r="B398" s="972"/>
      <c r="C398" s="972"/>
      <c r="D398" s="972"/>
      <c r="E398" s="973"/>
      <c r="F398" s="973"/>
      <c r="G398" s="930"/>
      <c r="H398" s="987"/>
      <c r="I398" s="987"/>
      <c r="J398" s="930"/>
      <c r="K398" s="930"/>
      <c r="L398" s="988"/>
      <c r="M398" s="980"/>
      <c r="N398" s="991"/>
      <c r="O398" s="992"/>
      <c r="P398" s="980"/>
      <c r="Q398" s="980"/>
      <c r="R398" s="980"/>
      <c r="S398" s="982"/>
      <c r="T398" s="770" t="s">
        <v>50</v>
      </c>
      <c r="U398" s="770">
        <f>COUNTIF(D384:D403,"공")</f>
        <v>0</v>
      </c>
      <c r="V398" s="771">
        <f>COUNTIF(I384:I403,"공")</f>
        <v>0</v>
      </c>
      <c r="W398" s="770" t="s">
        <v>26</v>
      </c>
      <c r="X398" s="770">
        <f>SUMIF(D384:D403,"공",F384:F403)</f>
        <v>0</v>
      </c>
      <c r="Y398" s="771">
        <f>SUMIF(I384:I403,"공",K384:K403)</f>
        <v>0</v>
      </c>
      <c r="Z398" s="770">
        <f>COUNTIF(AJ384:AJ403,"공국")+COUNTIF(AJ384:AJ403,"공공")</f>
        <v>0</v>
      </c>
      <c r="AA398" s="771">
        <f>COUNTIF(AK384:AK403,"공국")+COUNTIF(AK384:AK403,"공공")</f>
        <v>0</v>
      </c>
      <c r="AB398" s="770" t="s">
        <v>26</v>
      </c>
      <c r="AC398" s="770">
        <f>SUMIF(AJ384:AJ403,"공국",F384:F403)+SUMIF(AJ384:AJ403,"공공",F384:F403)</f>
        <v>0</v>
      </c>
      <c r="AD398" s="771">
        <f>SUMIF(AK384:AK403,"공국",K384:K403)+SUMIF(AK384:AK403,"공공",K384:K403)</f>
        <v>0</v>
      </c>
      <c r="AE398" s="770">
        <f t="shared" si="120"/>
        <v>0</v>
      </c>
      <c r="AF398" s="771">
        <f t="shared" si="121"/>
        <v>0</v>
      </c>
      <c r="AG398" s="770" t="s">
        <v>26</v>
      </c>
      <c r="AH398" s="770">
        <f t="shared" si="122"/>
        <v>0</v>
      </c>
      <c r="AI398" s="771">
        <f t="shared" si="123"/>
        <v>0</v>
      </c>
      <c r="AJ398" s="770" t="str">
        <f t="shared" si="124"/>
        <v/>
      </c>
      <c r="AK398" s="770" t="str">
        <f t="shared" si="125"/>
        <v/>
      </c>
    </row>
    <row r="399" spans="1:37" s="773" customFormat="1" ht="24" hidden="1" customHeight="1" x14ac:dyDescent="0.15">
      <c r="A399" s="884">
        <v>376</v>
      </c>
      <c r="B399" s="972"/>
      <c r="C399" s="972"/>
      <c r="D399" s="972"/>
      <c r="E399" s="973"/>
      <c r="F399" s="973"/>
      <c r="G399" s="930"/>
      <c r="H399" s="987"/>
      <c r="I399" s="987"/>
      <c r="J399" s="930"/>
      <c r="K399" s="930"/>
      <c r="L399" s="988"/>
      <c r="M399" s="980"/>
      <c r="N399" s="991"/>
      <c r="O399" s="992"/>
      <c r="P399" s="980"/>
      <c r="Q399" s="980"/>
      <c r="R399" s="980"/>
      <c r="S399" s="982"/>
      <c r="T399" s="791" t="s">
        <v>40</v>
      </c>
      <c r="U399" s="770">
        <f>COUNTIF(D384:D403,"장")</f>
        <v>0</v>
      </c>
      <c r="V399" s="771">
        <f>COUNTIF(I384:I403,"장")</f>
        <v>0</v>
      </c>
      <c r="W399" s="770" t="s">
        <v>26</v>
      </c>
      <c r="X399" s="770">
        <f>SUMIF(D384:D403,"장",F384:F403)</f>
        <v>0</v>
      </c>
      <c r="Y399" s="771">
        <f>SUMIF(I384:I403,"장",K384:K403)</f>
        <v>0</v>
      </c>
      <c r="Z399" s="770">
        <f>COUNTIF(AJ384:AJ403,"장국")+COUNTIF(AJ384:AJ403,"장공")</f>
        <v>0</v>
      </c>
      <c r="AA399" s="771">
        <f>COUNTIF(AK384:AK403,"장국")+COUNTIF(AK384:AK403,"장공")</f>
        <v>0</v>
      </c>
      <c r="AB399" s="770" t="s">
        <v>26</v>
      </c>
      <c r="AC399" s="770">
        <f>SUMIF(AJ384:AJ403,"장국",F384:F403)+SUMIF(AJ384:AJ403,"장공",F384:F403)</f>
        <v>0</v>
      </c>
      <c r="AD399" s="771">
        <f>SUMIF(AK384:AK403,"장국",K384:K403)+SUMIF(AK384:AK403,"장공",K384:K403)</f>
        <v>0</v>
      </c>
      <c r="AE399" s="770">
        <f t="shared" si="120"/>
        <v>0</v>
      </c>
      <c r="AF399" s="771">
        <f t="shared" si="121"/>
        <v>0</v>
      </c>
      <c r="AG399" s="770" t="s">
        <v>26</v>
      </c>
      <c r="AH399" s="770">
        <f t="shared" si="122"/>
        <v>0</v>
      </c>
      <c r="AI399" s="771">
        <f t="shared" si="123"/>
        <v>0</v>
      </c>
      <c r="AJ399" s="770" t="str">
        <f t="shared" si="124"/>
        <v/>
      </c>
      <c r="AK399" s="770" t="str">
        <f t="shared" si="125"/>
        <v/>
      </c>
    </row>
    <row r="400" spans="1:37" s="773" customFormat="1" ht="24" hidden="1" customHeight="1" x14ac:dyDescent="0.15">
      <c r="A400" s="884">
        <v>377</v>
      </c>
      <c r="B400" s="972"/>
      <c r="C400" s="972"/>
      <c r="D400" s="972"/>
      <c r="E400" s="973"/>
      <c r="F400" s="973"/>
      <c r="G400" s="930"/>
      <c r="H400" s="987"/>
      <c r="I400" s="987"/>
      <c r="J400" s="930"/>
      <c r="K400" s="930"/>
      <c r="L400" s="988"/>
      <c r="M400" s="980"/>
      <c r="N400" s="991"/>
      <c r="O400" s="992"/>
      <c r="P400" s="980"/>
      <c r="Q400" s="980"/>
      <c r="R400" s="980"/>
      <c r="S400" s="982"/>
      <c r="T400" s="791" t="s">
        <v>5</v>
      </c>
      <c r="U400" s="770">
        <f>COUNTIF(D384:D403,"목")</f>
        <v>0</v>
      </c>
      <c r="V400" s="771">
        <f>COUNTIF(I384:I403,"목")</f>
        <v>0</v>
      </c>
      <c r="W400" s="770" t="s">
        <v>26</v>
      </c>
      <c r="X400" s="770">
        <f>SUMIF(D384:D403,"목",F384:F403)</f>
        <v>0</v>
      </c>
      <c r="Y400" s="771">
        <f>SUMIF(I384:I403,"목",K384:K403)</f>
        <v>0</v>
      </c>
      <c r="Z400" s="770">
        <f>COUNTIF(AJ384:AJ403,"목국")+COUNTIF(AJ384:AJ403,"목공")</f>
        <v>0</v>
      </c>
      <c r="AA400" s="771">
        <f>COUNTIF(AK384:AK403,"목국")+COUNTIF(AK384:AK403,"목공")</f>
        <v>0</v>
      </c>
      <c r="AB400" s="770" t="s">
        <v>26</v>
      </c>
      <c r="AC400" s="770">
        <f>SUMIF(AJ384:AJ403,"목국",F384:F403)+SUMIF(AJ384:AJ403,"목공",F384:F403)</f>
        <v>0</v>
      </c>
      <c r="AD400" s="771">
        <f>SUMIF(AK384:AK403,"목국",K384:K403)+SUMIF(AK384:AK403,"목공",K384:K403)</f>
        <v>0</v>
      </c>
      <c r="AE400" s="770">
        <f t="shared" si="120"/>
        <v>0</v>
      </c>
      <c r="AF400" s="771">
        <f t="shared" si="121"/>
        <v>0</v>
      </c>
      <c r="AG400" s="770" t="s">
        <v>26</v>
      </c>
      <c r="AH400" s="770">
        <f t="shared" si="122"/>
        <v>0</v>
      </c>
      <c r="AI400" s="771">
        <f t="shared" si="123"/>
        <v>0</v>
      </c>
      <c r="AJ400" s="770" t="str">
        <f t="shared" si="124"/>
        <v/>
      </c>
      <c r="AK400" s="770" t="str">
        <f t="shared" si="125"/>
        <v/>
      </c>
    </row>
    <row r="401" spans="1:38" s="773" customFormat="1" ht="24" hidden="1" customHeight="1" x14ac:dyDescent="0.15">
      <c r="A401" s="884">
        <v>378</v>
      </c>
      <c r="B401" s="972"/>
      <c r="C401" s="972"/>
      <c r="D401" s="972"/>
      <c r="E401" s="973"/>
      <c r="F401" s="973"/>
      <c r="G401" s="930"/>
      <c r="H401" s="987"/>
      <c r="I401" s="987"/>
      <c r="J401" s="930"/>
      <c r="K401" s="930"/>
      <c r="L401" s="988"/>
      <c r="M401" s="980"/>
      <c r="N401" s="991"/>
      <c r="O401" s="992"/>
      <c r="P401" s="980"/>
      <c r="Q401" s="980"/>
      <c r="R401" s="980"/>
      <c r="S401" s="982"/>
      <c r="T401" s="791"/>
      <c r="U401" s="791"/>
      <c r="V401" s="792"/>
      <c r="W401" s="791"/>
      <c r="X401" s="791"/>
      <c r="Y401" s="792"/>
      <c r="Z401" s="770"/>
      <c r="AA401" s="771"/>
      <c r="AB401" s="791"/>
      <c r="AC401" s="770"/>
      <c r="AD401" s="771"/>
      <c r="AE401" s="791"/>
      <c r="AF401" s="792"/>
      <c r="AG401" s="791"/>
      <c r="AH401" s="791"/>
      <c r="AI401" s="792"/>
      <c r="AJ401" s="770" t="str">
        <f t="shared" si="124"/>
        <v/>
      </c>
      <c r="AK401" s="770" t="str">
        <f t="shared" si="125"/>
        <v/>
      </c>
    </row>
    <row r="402" spans="1:38" s="773" customFormat="1" ht="24" hidden="1" customHeight="1" x14ac:dyDescent="0.15">
      <c r="A402" s="884">
        <v>379</v>
      </c>
      <c r="B402" s="972"/>
      <c r="C402" s="972"/>
      <c r="D402" s="972"/>
      <c r="E402" s="973"/>
      <c r="F402" s="973"/>
      <c r="G402" s="930"/>
      <c r="H402" s="987"/>
      <c r="I402" s="987"/>
      <c r="J402" s="930"/>
      <c r="K402" s="930"/>
      <c r="L402" s="988"/>
      <c r="M402" s="980"/>
      <c r="N402" s="991"/>
      <c r="O402" s="992"/>
      <c r="P402" s="980"/>
      <c r="Q402" s="980"/>
      <c r="R402" s="980"/>
      <c r="S402" s="982"/>
      <c r="T402" s="791"/>
      <c r="U402" s="791"/>
      <c r="V402" s="792"/>
      <c r="W402" s="791"/>
      <c r="X402" s="791"/>
      <c r="Y402" s="792"/>
      <c r="Z402" s="770"/>
      <c r="AA402" s="771"/>
      <c r="AB402" s="791"/>
      <c r="AC402" s="770"/>
      <c r="AD402" s="771"/>
      <c r="AE402" s="791"/>
      <c r="AF402" s="792"/>
      <c r="AG402" s="791"/>
      <c r="AH402" s="791"/>
      <c r="AI402" s="792"/>
      <c r="AJ402" s="770" t="str">
        <f t="shared" si="124"/>
        <v/>
      </c>
      <c r="AK402" s="770" t="str">
        <f t="shared" si="125"/>
        <v/>
      </c>
    </row>
    <row r="403" spans="1:38" s="773" customFormat="1" ht="24" hidden="1" customHeight="1" x14ac:dyDescent="0.15">
      <c r="A403" s="884">
        <v>380</v>
      </c>
      <c r="B403" s="972"/>
      <c r="C403" s="972"/>
      <c r="D403" s="972"/>
      <c r="E403" s="973"/>
      <c r="F403" s="973"/>
      <c r="G403" s="930"/>
      <c r="H403" s="987"/>
      <c r="I403" s="987"/>
      <c r="J403" s="930"/>
      <c r="K403" s="930"/>
      <c r="L403" s="988"/>
      <c r="M403" s="980"/>
      <c r="N403" s="991"/>
      <c r="O403" s="992"/>
      <c r="P403" s="980"/>
      <c r="Q403" s="980"/>
      <c r="R403" s="980"/>
      <c r="S403" s="982"/>
      <c r="T403" s="794" t="s">
        <v>37</v>
      </c>
      <c r="U403" s="794">
        <f>COUNTIF(D384:D403,"철")</f>
        <v>0</v>
      </c>
      <c r="V403" s="795">
        <f>COUNTIF(I384:I403,"철")</f>
        <v>0</v>
      </c>
      <c r="W403" s="794" t="s">
        <v>26</v>
      </c>
      <c r="X403" s="794">
        <f>SUMIF(D384:D403,"철",F384:F403)</f>
        <v>0</v>
      </c>
      <c r="Y403" s="795">
        <f>SUMIF(I384:I403,"철",K384:K403)</f>
        <v>0</v>
      </c>
      <c r="Z403" s="770">
        <f>COUNTIF(AJ384:AJ403,"철국")+COUNTIF(AJ384:AJ403,"철공")</f>
        <v>0</v>
      </c>
      <c r="AA403" s="771">
        <f>COUNTIF(AK384:AK403,"철국")+COUNTIF(AK384:AK403,"철공")</f>
        <v>0</v>
      </c>
      <c r="AB403" s="794" t="s">
        <v>26</v>
      </c>
      <c r="AC403" s="770">
        <f>SUMIF(AJ384:AJ403,"철국",F384:F403)+SUMIF(AJ384:AJ403,"철공",F384:F403)</f>
        <v>0</v>
      </c>
      <c r="AD403" s="771">
        <f>SUMIF(AK384:AK403,"철국",K384:K403)+SUMIF(AK384:AK403,"철공",K384:K403)</f>
        <v>0</v>
      </c>
      <c r="AE403" s="794"/>
      <c r="AF403" s="795"/>
      <c r="AG403" s="794"/>
      <c r="AH403" s="794"/>
      <c r="AI403" s="795"/>
      <c r="AJ403" s="770" t="str">
        <f t="shared" si="124"/>
        <v/>
      </c>
      <c r="AK403" s="770" t="str">
        <f t="shared" si="125"/>
        <v/>
      </c>
    </row>
    <row r="404" spans="1:38" s="773" customFormat="1" ht="24" hidden="1" customHeight="1" thickBot="1" x14ac:dyDescent="0.2">
      <c r="A404" s="1082" t="s">
        <v>48</v>
      </c>
      <c r="B404" s="1083"/>
      <c r="C404" s="1083"/>
      <c r="D404" s="1083"/>
      <c r="E404" s="1084"/>
      <c r="F404" s="798">
        <f>SUM(F384:F403)</f>
        <v>0</v>
      </c>
      <c r="G404" s="993"/>
      <c r="H404" s="994"/>
      <c r="I404" s="994"/>
      <c r="J404" s="993"/>
      <c r="K404" s="971">
        <f>SUM(K384:K403)</f>
        <v>0</v>
      </c>
      <c r="L404" s="995"/>
      <c r="M404" s="996"/>
      <c r="N404" s="997"/>
      <c r="O404" s="998"/>
      <c r="P404" s="996"/>
      <c r="Q404" s="996"/>
      <c r="R404" s="996"/>
      <c r="S404" s="999"/>
      <c r="T404" s="806" t="s">
        <v>24</v>
      </c>
      <c r="U404" s="807">
        <f t="shared" ref="U404:AA404" si="126">SUM(U384:U403)</f>
        <v>0</v>
      </c>
      <c r="V404" s="807">
        <f t="shared" si="126"/>
        <v>0</v>
      </c>
      <c r="W404" s="807">
        <f t="shared" si="126"/>
        <v>0</v>
      </c>
      <c r="X404" s="807">
        <f t="shared" si="126"/>
        <v>0</v>
      </c>
      <c r="Y404" s="807">
        <f t="shared" si="126"/>
        <v>0</v>
      </c>
      <c r="Z404" s="822">
        <f t="shared" si="126"/>
        <v>0</v>
      </c>
      <c r="AA404" s="823">
        <f t="shared" si="126"/>
        <v>0</v>
      </c>
      <c r="AB404" s="822" t="s">
        <v>26</v>
      </c>
      <c r="AC404" s="822">
        <f>SUM(AC384:AC403)</f>
        <v>0</v>
      </c>
      <c r="AD404" s="823">
        <f>SUM(AD384:AD403)</f>
        <v>0</v>
      </c>
      <c r="AE404" s="807">
        <f>SUM(AE384:AE403)</f>
        <v>0</v>
      </c>
      <c r="AF404" s="807">
        <f>SUM(AF384:AF403)</f>
        <v>0</v>
      </c>
      <c r="AG404" s="807" t="s">
        <v>26</v>
      </c>
      <c r="AH404" s="807">
        <f>SUM(AH384:AH403)</f>
        <v>0</v>
      </c>
      <c r="AI404" s="807">
        <f>SUM(AI384:AI403)</f>
        <v>0</v>
      </c>
      <c r="AJ404" s="807"/>
      <c r="AK404" s="755"/>
      <c r="AL404" s="772"/>
    </row>
    <row r="405" spans="1:38" s="773" customFormat="1" ht="24" hidden="1" customHeight="1" x14ac:dyDescent="0.15">
      <c r="A405" s="877">
        <v>381</v>
      </c>
      <c r="B405" s="983"/>
      <c r="C405" s="983"/>
      <c r="D405" s="983"/>
      <c r="E405" s="984"/>
      <c r="F405" s="984"/>
      <c r="G405" s="939"/>
      <c r="H405" s="1000"/>
      <c r="I405" s="1000"/>
      <c r="J405" s="939"/>
      <c r="K405" s="939"/>
      <c r="L405" s="1001"/>
      <c r="M405" s="985"/>
      <c r="N405" s="1002"/>
      <c r="O405" s="1003"/>
      <c r="P405" s="985"/>
      <c r="Q405" s="985"/>
      <c r="R405" s="985"/>
      <c r="S405" s="986"/>
      <c r="T405" s="770" t="s">
        <v>27</v>
      </c>
      <c r="U405" s="770">
        <f>COUNTIF(D405:D424,"전")</f>
        <v>0</v>
      </c>
      <c r="V405" s="771">
        <f>COUNTIF(I405:I424,"전")</f>
        <v>0</v>
      </c>
      <c r="W405" s="770" t="s">
        <v>26</v>
      </c>
      <c r="X405" s="770">
        <f>SUMIF(D405:D424,"전",F405:F424)</f>
        <v>0</v>
      </c>
      <c r="Y405" s="771">
        <f>SUMIF(I405:I424,"전",K405:K424)</f>
        <v>0</v>
      </c>
      <c r="Z405" s="770">
        <f>COUNTIF(AJ405:AJ424,"전국")+COUNTIF(AJ405:AJ424,"전공")</f>
        <v>0</v>
      </c>
      <c r="AA405" s="771">
        <f>COUNTIF(AK405:AK424,"전국")+COUNTIF(AK405:AK424,"전공")</f>
        <v>0</v>
      </c>
      <c r="AB405" s="770" t="s">
        <v>26</v>
      </c>
      <c r="AC405" s="770">
        <f>SUMIF(AJ405:AJ424,"전국",F405:F424)+SUMIF(AJ405:AJ424,"전공",F405:F424)</f>
        <v>0</v>
      </c>
      <c r="AD405" s="771">
        <f>SUMIF(AK405:AK424,"전국",K405:K424)+SUMIF(AK405:AK424,"전공",K405:K424)</f>
        <v>0</v>
      </c>
      <c r="AE405" s="770">
        <f t="shared" ref="AE405:AE421" si="127">U405-Z405</f>
        <v>0</v>
      </c>
      <c r="AF405" s="771">
        <f t="shared" ref="AF405:AF421" si="128">V405-AA405</f>
        <v>0</v>
      </c>
      <c r="AG405" s="770" t="s">
        <v>26</v>
      </c>
      <c r="AH405" s="770">
        <f t="shared" ref="AH405:AH421" si="129">X405-AC405</f>
        <v>0</v>
      </c>
      <c r="AI405" s="771">
        <f t="shared" ref="AI405:AI421" si="130">Y405-AD405</f>
        <v>0</v>
      </c>
      <c r="AJ405" s="770" t="str">
        <f t="shared" ref="AJ405:AJ424" si="131">CONCATENATE(D405,L405)</f>
        <v/>
      </c>
      <c r="AK405" s="770" t="str">
        <f t="shared" ref="AK405:AK424" si="132">CONCATENATE(I405,L405)</f>
        <v/>
      </c>
    </row>
    <row r="406" spans="1:38" s="773" customFormat="1" ht="24" hidden="1" customHeight="1" x14ac:dyDescent="0.15">
      <c r="A406" s="884">
        <v>382</v>
      </c>
      <c r="B406" s="972"/>
      <c r="C406" s="972"/>
      <c r="D406" s="972"/>
      <c r="E406" s="973"/>
      <c r="F406" s="973"/>
      <c r="G406" s="930"/>
      <c r="H406" s="987"/>
      <c r="I406" s="987"/>
      <c r="J406" s="930"/>
      <c r="K406" s="930"/>
      <c r="L406" s="988"/>
      <c r="M406" s="980"/>
      <c r="N406" s="991"/>
      <c r="O406" s="992"/>
      <c r="P406" s="980"/>
      <c r="Q406" s="980"/>
      <c r="R406" s="980"/>
      <c r="S406" s="982"/>
      <c r="T406" s="770" t="s">
        <v>28</v>
      </c>
      <c r="U406" s="770">
        <f>COUNTIF(D405:D424,"답")</f>
        <v>0</v>
      </c>
      <c r="V406" s="771">
        <f>COUNTIF(I405:I424,"답")</f>
        <v>0</v>
      </c>
      <c r="W406" s="770" t="s">
        <v>26</v>
      </c>
      <c r="X406" s="770">
        <f>SUMIF(D405:D424,"답",F405:F424)</f>
        <v>0</v>
      </c>
      <c r="Y406" s="771">
        <f>SUMIF(I405:I424,"답",K405:K424)</f>
        <v>0</v>
      </c>
      <c r="Z406" s="770">
        <f>COUNTIF(AJ405:AJ424,"답국")+COUNTIF(AJ405:AJ424,"답공")</f>
        <v>0</v>
      </c>
      <c r="AA406" s="771">
        <f>COUNTIF(AK405:AK424,"답국")+COUNTIF(AK405:AK424,"답공")</f>
        <v>0</v>
      </c>
      <c r="AB406" s="770" t="s">
        <v>26</v>
      </c>
      <c r="AC406" s="770">
        <f>SUMIF(AJ405:AJ424,"답국",F405:F424)+SUMIF(AJ405:AJ424,"답공",F405:F424)</f>
        <v>0</v>
      </c>
      <c r="AD406" s="771">
        <f>SUMIF(AK405:AK424,"답국",K405:K424)+SUMIF(AK405:AK424,"답공",K405:K424)</f>
        <v>0</v>
      </c>
      <c r="AE406" s="770">
        <f t="shared" si="127"/>
        <v>0</v>
      </c>
      <c r="AF406" s="771">
        <f t="shared" si="128"/>
        <v>0</v>
      </c>
      <c r="AG406" s="770" t="s">
        <v>26</v>
      </c>
      <c r="AH406" s="770">
        <f t="shared" si="129"/>
        <v>0</v>
      </c>
      <c r="AI406" s="771">
        <f t="shared" si="130"/>
        <v>0</v>
      </c>
      <c r="AJ406" s="770" t="str">
        <f t="shared" si="131"/>
        <v/>
      </c>
      <c r="AK406" s="770" t="str">
        <f t="shared" si="132"/>
        <v/>
      </c>
    </row>
    <row r="407" spans="1:38" s="773" customFormat="1" ht="24" hidden="1" customHeight="1" x14ac:dyDescent="0.15">
      <c r="A407" s="884">
        <v>383</v>
      </c>
      <c r="B407" s="972"/>
      <c r="C407" s="972"/>
      <c r="D407" s="972"/>
      <c r="E407" s="973"/>
      <c r="F407" s="973"/>
      <c r="G407" s="930"/>
      <c r="H407" s="987"/>
      <c r="I407" s="987"/>
      <c r="J407" s="930"/>
      <c r="K407" s="930"/>
      <c r="L407" s="988"/>
      <c r="M407" s="980"/>
      <c r="N407" s="991"/>
      <c r="O407" s="992"/>
      <c r="P407" s="980"/>
      <c r="Q407" s="980"/>
      <c r="R407" s="980"/>
      <c r="S407" s="982"/>
      <c r="T407" s="770" t="s">
        <v>44</v>
      </c>
      <c r="U407" s="770">
        <f>COUNTIF(D405:D424,"임")</f>
        <v>0</v>
      </c>
      <c r="V407" s="771">
        <f>COUNTIF(I405:I424,"임")</f>
        <v>0</v>
      </c>
      <c r="W407" s="770" t="s">
        <v>26</v>
      </c>
      <c r="X407" s="770">
        <f>SUMIF(D405:D424,"임",F405:F424)</f>
        <v>0</v>
      </c>
      <c r="Y407" s="771">
        <f>SUMIF(I405:I424,"임",K405:K424)</f>
        <v>0</v>
      </c>
      <c r="Z407" s="770">
        <f>COUNTIF(AJ405:AJ424,"임국")+COUNTIF(AJ405:AJ424,"임공")</f>
        <v>0</v>
      </c>
      <c r="AA407" s="771">
        <f>COUNTIF(AK405:AK424,"임국")+COUNTIF(AK405:AK424,"임공")</f>
        <v>0</v>
      </c>
      <c r="AB407" s="770" t="s">
        <v>26</v>
      </c>
      <c r="AC407" s="770">
        <f>SUMIF(AJ405:AJ424,"임국",F405:F424)+SUMIF(AJ405:AJ424,"임공",F405:F424)</f>
        <v>0</v>
      </c>
      <c r="AD407" s="771">
        <f>SUMIF(AK405:AK424,"임국",K405:K424)+SUMIF(AK405:AK424,"임공",K405:K424)</f>
        <v>0</v>
      </c>
      <c r="AE407" s="770">
        <f t="shared" si="127"/>
        <v>0</v>
      </c>
      <c r="AF407" s="771">
        <f t="shared" si="128"/>
        <v>0</v>
      </c>
      <c r="AG407" s="770" t="s">
        <v>26</v>
      </c>
      <c r="AH407" s="770">
        <f t="shared" si="129"/>
        <v>0</v>
      </c>
      <c r="AI407" s="771">
        <f t="shared" si="130"/>
        <v>0</v>
      </c>
      <c r="AJ407" s="770" t="str">
        <f t="shared" si="131"/>
        <v/>
      </c>
      <c r="AK407" s="770" t="str">
        <f t="shared" si="132"/>
        <v/>
      </c>
    </row>
    <row r="408" spans="1:38" s="773" customFormat="1" ht="24" hidden="1" customHeight="1" x14ac:dyDescent="0.15">
      <c r="A408" s="884">
        <v>384</v>
      </c>
      <c r="B408" s="972"/>
      <c r="C408" s="972"/>
      <c r="D408" s="972"/>
      <c r="E408" s="973"/>
      <c r="F408" s="973"/>
      <c r="G408" s="930"/>
      <c r="H408" s="987"/>
      <c r="I408" s="987"/>
      <c r="J408" s="930"/>
      <c r="K408" s="930"/>
      <c r="L408" s="988"/>
      <c r="M408" s="980"/>
      <c r="N408" s="991"/>
      <c r="O408" s="992"/>
      <c r="P408" s="980"/>
      <c r="Q408" s="980"/>
      <c r="R408" s="980"/>
      <c r="S408" s="982"/>
      <c r="T408" s="770" t="s">
        <v>45</v>
      </c>
      <c r="U408" s="770">
        <f>COUNTIF(D405:D424,"대")</f>
        <v>0</v>
      </c>
      <c r="V408" s="771">
        <f>COUNTIF(I405:I424,"대")</f>
        <v>0</v>
      </c>
      <c r="W408" s="770" t="s">
        <v>26</v>
      </c>
      <c r="X408" s="770">
        <f>SUMIF(D405:D424,"대",F405:F424)</f>
        <v>0</v>
      </c>
      <c r="Y408" s="771">
        <f>SUMIF(I405:I424,"대",K405:K424)</f>
        <v>0</v>
      </c>
      <c r="Z408" s="770">
        <f>COUNTIF(AJ405:AJ424,"대국")+COUNTIF(AJ405:AJ424,"대공")</f>
        <v>0</v>
      </c>
      <c r="AA408" s="771">
        <f>COUNTIF(AK405:AK424,"대국")+COUNTIF(AK405:AK424,"대공")</f>
        <v>0</v>
      </c>
      <c r="AB408" s="770" t="s">
        <v>26</v>
      </c>
      <c r="AC408" s="770">
        <f>SUMIF(AJ405:AJ424,"대국",F405:F424)+SUMIF(AJ405:AJ424,"대공",F405:F424)</f>
        <v>0</v>
      </c>
      <c r="AD408" s="771">
        <f>SUMIF(AK405:AK424,"대국",K405:K424)+SUMIF(AK405:AK424,"대공",K405:K424)</f>
        <v>0</v>
      </c>
      <c r="AE408" s="770">
        <f t="shared" si="127"/>
        <v>0</v>
      </c>
      <c r="AF408" s="771">
        <f t="shared" si="128"/>
        <v>0</v>
      </c>
      <c r="AG408" s="770" t="s">
        <v>26</v>
      </c>
      <c r="AH408" s="770">
        <f t="shared" si="129"/>
        <v>0</v>
      </c>
      <c r="AI408" s="771">
        <f t="shared" si="130"/>
        <v>0</v>
      </c>
      <c r="AJ408" s="770" t="str">
        <f t="shared" si="131"/>
        <v/>
      </c>
      <c r="AK408" s="770" t="str">
        <f t="shared" si="132"/>
        <v/>
      </c>
    </row>
    <row r="409" spans="1:38" s="773" customFormat="1" ht="24" hidden="1" customHeight="1" x14ac:dyDescent="0.15">
      <c r="A409" s="884">
        <v>385</v>
      </c>
      <c r="B409" s="972"/>
      <c r="C409" s="972"/>
      <c r="D409" s="972"/>
      <c r="E409" s="973"/>
      <c r="F409" s="973"/>
      <c r="G409" s="930"/>
      <c r="H409" s="987"/>
      <c r="I409" s="987"/>
      <c r="J409" s="930"/>
      <c r="K409" s="930"/>
      <c r="L409" s="988"/>
      <c r="M409" s="980"/>
      <c r="N409" s="991"/>
      <c r="O409" s="992"/>
      <c r="P409" s="980"/>
      <c r="Q409" s="980"/>
      <c r="R409" s="980"/>
      <c r="S409" s="982"/>
      <c r="T409" s="770" t="s">
        <v>31</v>
      </c>
      <c r="U409" s="770">
        <f>COUNTIF(D405:D424,"도")</f>
        <v>0</v>
      </c>
      <c r="V409" s="771">
        <f>COUNTIF(I405:I424,"도")</f>
        <v>0</v>
      </c>
      <c r="W409" s="770" t="s">
        <v>26</v>
      </c>
      <c r="X409" s="770">
        <f>SUMIF(D405:D424,"도",F405:F424)</f>
        <v>0</v>
      </c>
      <c r="Y409" s="771">
        <f>SUMIF(I405:I424,"도",K405:K424)</f>
        <v>0</v>
      </c>
      <c r="Z409" s="770">
        <f>COUNTIF(AJ405:AJ424,"도국")+COUNTIF(AJ405:AJ424,"도공")</f>
        <v>0</v>
      </c>
      <c r="AA409" s="771">
        <f>COUNTIF(AK405:AK424,"도국")+COUNTIF(AK405:AK424,"도공")</f>
        <v>0</v>
      </c>
      <c r="AB409" s="770" t="s">
        <v>26</v>
      </c>
      <c r="AC409" s="770">
        <f>SUMIF(AJ405:AJ424,"도국",F405:F424)+SUMIF(AJ405:AJ424,"도공",F405:F424)</f>
        <v>0</v>
      </c>
      <c r="AD409" s="771">
        <f>SUMIF(AK405:AK424,"도국",K405:K424)+SUMIF(AK405:AK424,"도공",K405:K424)</f>
        <v>0</v>
      </c>
      <c r="AE409" s="770">
        <f t="shared" si="127"/>
        <v>0</v>
      </c>
      <c r="AF409" s="771">
        <f t="shared" si="128"/>
        <v>0</v>
      </c>
      <c r="AG409" s="770" t="s">
        <v>26</v>
      </c>
      <c r="AH409" s="770">
        <f t="shared" si="129"/>
        <v>0</v>
      </c>
      <c r="AI409" s="771">
        <f t="shared" si="130"/>
        <v>0</v>
      </c>
      <c r="AJ409" s="770" t="str">
        <f t="shared" si="131"/>
        <v/>
      </c>
      <c r="AK409" s="770" t="str">
        <f t="shared" si="132"/>
        <v/>
      </c>
    </row>
    <row r="410" spans="1:38" s="773" customFormat="1" ht="24" hidden="1" customHeight="1" x14ac:dyDescent="0.15">
      <c r="A410" s="884">
        <v>386</v>
      </c>
      <c r="B410" s="972"/>
      <c r="C410" s="972"/>
      <c r="D410" s="972"/>
      <c r="E410" s="973"/>
      <c r="F410" s="973"/>
      <c r="G410" s="930"/>
      <c r="H410" s="987"/>
      <c r="I410" s="987"/>
      <c r="J410" s="930"/>
      <c r="K410" s="930"/>
      <c r="L410" s="988"/>
      <c r="M410" s="1004"/>
      <c r="N410" s="991"/>
      <c r="O410" s="992"/>
      <c r="P410" s="980"/>
      <c r="Q410" s="980"/>
      <c r="R410" s="980"/>
      <c r="S410" s="982"/>
      <c r="T410" s="770" t="s">
        <v>32</v>
      </c>
      <c r="U410" s="786">
        <f>COUNTIF(D405:D424,"천")</f>
        <v>0</v>
      </c>
      <c r="V410" s="787">
        <f>COUNTIF(I405:I424,"천")</f>
        <v>0</v>
      </c>
      <c r="W410" s="770" t="s">
        <v>26</v>
      </c>
      <c r="X410" s="770">
        <f>SUMIF(D405:D424,"천",F405:F424)</f>
        <v>0</v>
      </c>
      <c r="Y410" s="771">
        <f>SUMIF(I405:I424,"천",K405:K424)</f>
        <v>0</v>
      </c>
      <c r="Z410" s="770">
        <f>COUNTIF(AJ405:AJ424,"천국")+COUNTIF(AJ405:AJ424,"천공")</f>
        <v>0</v>
      </c>
      <c r="AA410" s="771">
        <f>COUNTIF(AK405:AK424,"천국")+COUNTIF(AK405:AK424,"천공")</f>
        <v>0</v>
      </c>
      <c r="AB410" s="770" t="s">
        <v>26</v>
      </c>
      <c r="AC410" s="770">
        <f>SUMIF(AJ405:AJ424,"천국",F405:F424)+SUMIF(AJ405:AJ424,"천공",F405:F424)</f>
        <v>0</v>
      </c>
      <c r="AD410" s="771">
        <f>SUMIF(AK405:AK424,"천국",K405:K424)+SUMIF(AK405:AK424,"천공",K405:K424)</f>
        <v>0</v>
      </c>
      <c r="AE410" s="770">
        <f t="shared" si="127"/>
        <v>0</v>
      </c>
      <c r="AF410" s="771">
        <f t="shared" si="128"/>
        <v>0</v>
      </c>
      <c r="AG410" s="770" t="s">
        <v>26</v>
      </c>
      <c r="AH410" s="770">
        <f t="shared" si="129"/>
        <v>0</v>
      </c>
      <c r="AI410" s="771">
        <f t="shared" si="130"/>
        <v>0</v>
      </c>
      <c r="AJ410" s="770" t="str">
        <f t="shared" si="131"/>
        <v/>
      </c>
      <c r="AK410" s="770" t="str">
        <f t="shared" si="132"/>
        <v/>
      </c>
    </row>
    <row r="411" spans="1:38" s="773" customFormat="1" ht="24" hidden="1" customHeight="1" x14ac:dyDescent="0.15">
      <c r="A411" s="884">
        <v>387</v>
      </c>
      <c r="B411" s="972"/>
      <c r="C411" s="972"/>
      <c r="D411" s="972"/>
      <c r="E411" s="973"/>
      <c r="F411" s="973"/>
      <c r="G411" s="930"/>
      <c r="H411" s="987"/>
      <c r="I411" s="987"/>
      <c r="J411" s="930"/>
      <c r="K411" s="930"/>
      <c r="L411" s="988"/>
      <c r="M411" s="980"/>
      <c r="N411" s="991"/>
      <c r="O411" s="992"/>
      <c r="P411" s="980"/>
      <c r="Q411" s="980"/>
      <c r="R411" s="980"/>
      <c r="S411" s="982"/>
      <c r="T411" s="770" t="s">
        <v>33</v>
      </c>
      <c r="U411" s="770">
        <f>COUNTIF(D405:D424,"구")</f>
        <v>0</v>
      </c>
      <c r="V411" s="771">
        <f>COUNTIF(I405:I424,"구")</f>
        <v>0</v>
      </c>
      <c r="W411" s="770" t="s">
        <v>26</v>
      </c>
      <c r="X411" s="770">
        <f>SUMIF(D405:D424,"구",F405:F424)</f>
        <v>0</v>
      </c>
      <c r="Y411" s="771">
        <f>SUMIF(I405:I424,"구",K405:K424)</f>
        <v>0</v>
      </c>
      <c r="Z411" s="770">
        <f>COUNTIF(AJ405:AJ424,"구국")+COUNTIF(AJ405:AJ424,"구공")</f>
        <v>0</v>
      </c>
      <c r="AA411" s="771">
        <f>COUNTIF(AK405:AK424,"구국")+COUNTIF(AK405:AK424,"구공")</f>
        <v>0</v>
      </c>
      <c r="AB411" s="770" t="s">
        <v>26</v>
      </c>
      <c r="AC411" s="770">
        <f>SUMIF(AJ405:AJ424,"구국",F405:F424)+SUMIF(AJ405:AJ424,"구공",F405:F424)</f>
        <v>0</v>
      </c>
      <c r="AD411" s="771">
        <f>SUMIF(AK405:AK424,"구국",K405:K424)+SUMIF(AK405:AK424,"구공",K405:K424)</f>
        <v>0</v>
      </c>
      <c r="AE411" s="770">
        <f t="shared" si="127"/>
        <v>0</v>
      </c>
      <c r="AF411" s="771">
        <f t="shared" si="128"/>
        <v>0</v>
      </c>
      <c r="AG411" s="770" t="s">
        <v>26</v>
      </c>
      <c r="AH411" s="770">
        <f t="shared" si="129"/>
        <v>0</v>
      </c>
      <c r="AI411" s="771">
        <f t="shared" si="130"/>
        <v>0</v>
      </c>
      <c r="AJ411" s="770" t="str">
        <f t="shared" si="131"/>
        <v/>
      </c>
      <c r="AK411" s="770" t="str">
        <f t="shared" si="132"/>
        <v/>
      </c>
    </row>
    <row r="412" spans="1:38" s="773" customFormat="1" ht="24" hidden="1" customHeight="1" x14ac:dyDescent="0.15">
      <c r="A412" s="884">
        <v>388</v>
      </c>
      <c r="B412" s="972"/>
      <c r="C412" s="972"/>
      <c r="D412" s="972"/>
      <c r="E412" s="973"/>
      <c r="F412" s="973"/>
      <c r="G412" s="930"/>
      <c r="H412" s="987"/>
      <c r="I412" s="987"/>
      <c r="J412" s="930"/>
      <c r="K412" s="930"/>
      <c r="L412" s="988"/>
      <c r="M412" s="980"/>
      <c r="N412" s="991"/>
      <c r="O412" s="992"/>
      <c r="P412" s="980"/>
      <c r="Q412" s="980"/>
      <c r="R412" s="980"/>
      <c r="S412" s="982"/>
      <c r="T412" s="770" t="s">
        <v>34</v>
      </c>
      <c r="U412" s="770">
        <f>COUNTIF(D405:D424,"제")</f>
        <v>0</v>
      </c>
      <c r="V412" s="771">
        <f>COUNTIF(I405:I424,"제")</f>
        <v>0</v>
      </c>
      <c r="W412" s="770" t="s">
        <v>26</v>
      </c>
      <c r="X412" s="770">
        <f>SUMIF(D405:D424,"제",F405:F424)</f>
        <v>0</v>
      </c>
      <c r="Y412" s="771">
        <f>SUMIF(I405:I424,"제",K405:K424)</f>
        <v>0</v>
      </c>
      <c r="Z412" s="770">
        <f>COUNTIF(AJ405:AJ424,"제국")+COUNTIF(AJ405:AJ424,"제공")</f>
        <v>0</v>
      </c>
      <c r="AA412" s="771">
        <f>COUNTIF(AK405:AK424,"제국")+COUNTIF(AK405:AK424,"제공")</f>
        <v>0</v>
      </c>
      <c r="AB412" s="770" t="s">
        <v>26</v>
      </c>
      <c r="AC412" s="770">
        <f>SUMIF(AJ405:AJ424,"제국",F405:F424)+SUMIF(AJ405:AJ424,"제공",F405:F424)</f>
        <v>0</v>
      </c>
      <c r="AD412" s="771">
        <f>SUMIF(AK405:AK424,"제국",K405:K424)+SUMIF(AK405:AK424,"제공",K405:K424)</f>
        <v>0</v>
      </c>
      <c r="AE412" s="770">
        <f t="shared" si="127"/>
        <v>0</v>
      </c>
      <c r="AF412" s="771">
        <f t="shared" si="128"/>
        <v>0</v>
      </c>
      <c r="AG412" s="770" t="s">
        <v>26</v>
      </c>
      <c r="AH412" s="770">
        <f t="shared" si="129"/>
        <v>0</v>
      </c>
      <c r="AI412" s="771">
        <f t="shared" si="130"/>
        <v>0</v>
      </c>
      <c r="AJ412" s="770" t="str">
        <f t="shared" si="131"/>
        <v/>
      </c>
      <c r="AK412" s="770" t="str">
        <f t="shared" si="132"/>
        <v/>
      </c>
    </row>
    <row r="413" spans="1:38" s="773" customFormat="1" ht="24" hidden="1" customHeight="1" x14ac:dyDescent="0.15">
      <c r="A413" s="884">
        <v>389</v>
      </c>
      <c r="B413" s="972"/>
      <c r="C413" s="972"/>
      <c r="D413" s="972"/>
      <c r="E413" s="973"/>
      <c r="F413" s="973"/>
      <c r="G413" s="930"/>
      <c r="H413" s="987"/>
      <c r="I413" s="987"/>
      <c r="J413" s="930"/>
      <c r="K413" s="930"/>
      <c r="L413" s="988"/>
      <c r="M413" s="980"/>
      <c r="N413" s="991"/>
      <c r="O413" s="992"/>
      <c r="P413" s="980"/>
      <c r="Q413" s="980"/>
      <c r="R413" s="980"/>
      <c r="S413" s="982"/>
      <c r="T413" s="770" t="s">
        <v>46</v>
      </c>
      <c r="U413" s="770">
        <f>COUNTIF(D405:D424,"유")</f>
        <v>0</v>
      </c>
      <c r="V413" s="771">
        <f>COUNTIF(I405:I424,"유")</f>
        <v>0</v>
      </c>
      <c r="W413" s="770" t="s">
        <v>26</v>
      </c>
      <c r="X413" s="770">
        <f>SUMIF(D405:D424,"유",F405:F424)</f>
        <v>0</v>
      </c>
      <c r="Y413" s="771">
        <f>SUMIF(I405:I424,"유",K405:K424)</f>
        <v>0</v>
      </c>
      <c r="Z413" s="770">
        <f>COUNTIF(AJ405:AJ424,"유국")+COUNTIF(AJ405:AJ424,"유공")</f>
        <v>0</v>
      </c>
      <c r="AA413" s="771">
        <f>COUNTIF(AK405:AK424,"유국")+COUNTIF(AK405:AK424,"유공")</f>
        <v>0</v>
      </c>
      <c r="AB413" s="770" t="s">
        <v>26</v>
      </c>
      <c r="AC413" s="770">
        <f>SUMIF(AJ405:AJ424,"유국",F405:F424)+SUMIF(AJ405:AJ424,"유공",F405:F424)</f>
        <v>0</v>
      </c>
      <c r="AD413" s="771">
        <f>SUMIF(AK405:AK424,"유국",K405:K424)+SUMIF(AK405:AK424,"유공",K405:K424)</f>
        <v>0</v>
      </c>
      <c r="AE413" s="770">
        <f t="shared" si="127"/>
        <v>0</v>
      </c>
      <c r="AF413" s="771">
        <f t="shared" si="128"/>
        <v>0</v>
      </c>
      <c r="AG413" s="770" t="s">
        <v>26</v>
      </c>
      <c r="AH413" s="770">
        <f t="shared" si="129"/>
        <v>0</v>
      </c>
      <c r="AI413" s="771">
        <f t="shared" si="130"/>
        <v>0</v>
      </c>
      <c r="AJ413" s="770" t="str">
        <f t="shared" si="131"/>
        <v/>
      </c>
      <c r="AK413" s="770" t="str">
        <f t="shared" si="132"/>
        <v/>
      </c>
    </row>
    <row r="414" spans="1:38" s="773" customFormat="1" ht="24" hidden="1" customHeight="1" x14ac:dyDescent="0.15">
      <c r="A414" s="884">
        <v>390</v>
      </c>
      <c r="B414" s="972"/>
      <c r="C414" s="972"/>
      <c r="D414" s="972"/>
      <c r="E414" s="973"/>
      <c r="F414" s="973"/>
      <c r="G414" s="930"/>
      <c r="H414" s="987"/>
      <c r="I414" s="987"/>
      <c r="J414" s="930"/>
      <c r="K414" s="930"/>
      <c r="L414" s="988"/>
      <c r="M414" s="980"/>
      <c r="N414" s="991"/>
      <c r="O414" s="992"/>
      <c r="P414" s="980"/>
      <c r="Q414" s="980"/>
      <c r="R414" s="980"/>
      <c r="S414" s="982"/>
      <c r="T414" s="770" t="s">
        <v>47</v>
      </c>
      <c r="U414" s="770">
        <f>COUNTIF(D405:D424,"과")</f>
        <v>0</v>
      </c>
      <c r="V414" s="771">
        <f>COUNTIF(I405:I424,"과")</f>
        <v>0</v>
      </c>
      <c r="W414" s="770" t="s">
        <v>26</v>
      </c>
      <c r="X414" s="770">
        <f>SUMIF(D405:D424,"과",F405:F424)</f>
        <v>0</v>
      </c>
      <c r="Y414" s="771">
        <f>SUMIF(I405:I424,"과",K405:K424)</f>
        <v>0</v>
      </c>
      <c r="Z414" s="770">
        <f>COUNTIF(AJ405:AJ424,"과국")+COUNTIF(AJ405:AJ424,"과공")</f>
        <v>0</v>
      </c>
      <c r="AA414" s="771">
        <f>COUNTIF(AK405:AK424,"과국")+COUNTIF(AK405:AK424,"과공")</f>
        <v>0</v>
      </c>
      <c r="AB414" s="770" t="s">
        <v>26</v>
      </c>
      <c r="AC414" s="770">
        <f>SUMIF(AJ405:AJ424,"과국",F405:F424)+SUMIF(AJ405:AJ424,"과공",F405:F424)</f>
        <v>0</v>
      </c>
      <c r="AD414" s="771">
        <f>SUMIF(AK405:AK424,"과국",K405:K424)+SUMIF(AK405:AK424,"과공",K405:K424)</f>
        <v>0</v>
      </c>
      <c r="AE414" s="770">
        <f t="shared" si="127"/>
        <v>0</v>
      </c>
      <c r="AF414" s="771">
        <f t="shared" si="128"/>
        <v>0</v>
      </c>
      <c r="AG414" s="770" t="s">
        <v>26</v>
      </c>
      <c r="AH414" s="770">
        <f t="shared" si="129"/>
        <v>0</v>
      </c>
      <c r="AI414" s="771">
        <f t="shared" si="130"/>
        <v>0</v>
      </c>
      <c r="AJ414" s="770" t="str">
        <f t="shared" si="131"/>
        <v/>
      </c>
      <c r="AK414" s="770" t="str">
        <f t="shared" si="132"/>
        <v/>
      </c>
    </row>
    <row r="415" spans="1:38" s="773" customFormat="1" ht="24" hidden="1" customHeight="1" x14ac:dyDescent="0.15">
      <c r="A415" s="884">
        <v>391</v>
      </c>
      <c r="B415" s="972"/>
      <c r="C415" s="972"/>
      <c r="D415" s="972"/>
      <c r="E415" s="973"/>
      <c r="F415" s="973"/>
      <c r="G415" s="930"/>
      <c r="H415" s="987"/>
      <c r="I415" s="987"/>
      <c r="J415" s="930"/>
      <c r="K415" s="930"/>
      <c r="L415" s="988"/>
      <c r="M415" s="980"/>
      <c r="N415" s="991"/>
      <c r="O415" s="992"/>
      <c r="P415" s="980"/>
      <c r="Q415" s="980"/>
      <c r="R415" s="980"/>
      <c r="S415" s="982"/>
      <c r="T415" s="770" t="s">
        <v>36</v>
      </c>
      <c r="U415" s="770">
        <f>COUNTIF(D405:D424,"묘")</f>
        <v>0</v>
      </c>
      <c r="V415" s="771">
        <f>COUNTIF(I405:I424,"묘")</f>
        <v>0</v>
      </c>
      <c r="W415" s="770" t="s">
        <v>26</v>
      </c>
      <c r="X415" s="770">
        <f>SUMIF(D405:D424,"묘",F405:F424)</f>
        <v>0</v>
      </c>
      <c r="Y415" s="771">
        <f>SUMIF(I405:I424,"묘",K405:K424)</f>
        <v>0</v>
      </c>
      <c r="Z415" s="770">
        <f>COUNTIF(AJ405:AJ424,"묘국")+COUNTIF(AJ405:AJ424,"묘공")</f>
        <v>0</v>
      </c>
      <c r="AA415" s="771">
        <f>COUNTIF(AK405:AK424,"묘국")+COUNTIF(AK405:AK424,"묘공")</f>
        <v>0</v>
      </c>
      <c r="AB415" s="770" t="s">
        <v>26</v>
      </c>
      <c r="AC415" s="770">
        <f>SUMIF(AJ405:AJ424,"묘국",F405:F424)+SUMIF(AJ405:AJ424,"묘공",F405:F424)</f>
        <v>0</v>
      </c>
      <c r="AD415" s="771">
        <f>SUMIF(AK405:AK424,"묘국",K405:K424)+SUMIF(AK405:AK424,"묘공",K405:K424)</f>
        <v>0</v>
      </c>
      <c r="AE415" s="770">
        <f t="shared" si="127"/>
        <v>0</v>
      </c>
      <c r="AF415" s="771">
        <f t="shared" si="128"/>
        <v>0</v>
      </c>
      <c r="AG415" s="770" t="s">
        <v>26</v>
      </c>
      <c r="AH415" s="770">
        <f t="shared" si="129"/>
        <v>0</v>
      </c>
      <c r="AI415" s="771">
        <f t="shared" si="130"/>
        <v>0</v>
      </c>
      <c r="AJ415" s="770" t="str">
        <f t="shared" si="131"/>
        <v/>
      </c>
      <c r="AK415" s="770" t="str">
        <f t="shared" si="132"/>
        <v/>
      </c>
    </row>
    <row r="416" spans="1:38" s="773" customFormat="1" ht="24" hidden="1" customHeight="1" x14ac:dyDescent="0.15">
      <c r="A416" s="884">
        <v>392</v>
      </c>
      <c r="B416" s="972"/>
      <c r="C416" s="972"/>
      <c r="D416" s="972"/>
      <c r="E416" s="973"/>
      <c r="F416" s="973"/>
      <c r="G416" s="930"/>
      <c r="H416" s="987"/>
      <c r="I416" s="987"/>
      <c r="J416" s="930"/>
      <c r="K416" s="930"/>
      <c r="L416" s="988"/>
      <c r="M416" s="980"/>
      <c r="N416" s="991"/>
      <c r="O416" s="992"/>
      <c r="P416" s="980"/>
      <c r="Q416" s="980"/>
      <c r="R416" s="980"/>
      <c r="S416" s="982"/>
      <c r="T416" s="770" t="s">
        <v>39</v>
      </c>
      <c r="U416" s="770">
        <f>COUNTIF(D405:D424,"수")</f>
        <v>0</v>
      </c>
      <c r="V416" s="771">
        <f>COUNTIF(I405:I424,"수")</f>
        <v>0</v>
      </c>
      <c r="W416" s="770" t="s">
        <v>26</v>
      </c>
      <c r="X416" s="770">
        <f>SUMIF(D405:D424,"수",F405:F424)</f>
        <v>0</v>
      </c>
      <c r="Y416" s="771">
        <f>SUMIF(I405:I424,"수",K405:K424)</f>
        <v>0</v>
      </c>
      <c r="Z416" s="770">
        <f>COUNTIF(AJ405:AJ424,"수국")+COUNTIF(AJ405:AJ424,"수공")</f>
        <v>0</v>
      </c>
      <c r="AA416" s="771">
        <f>COUNTIF(AK405:AK424,"수국")+COUNTIF(AK405:AK424,"수공")</f>
        <v>0</v>
      </c>
      <c r="AB416" s="770" t="s">
        <v>26</v>
      </c>
      <c r="AC416" s="770">
        <f>SUMIF(AJ405:AJ424,"수국",F405:F424)+SUMIF(AJ405:AJ424,"수공",F405:F424)</f>
        <v>0</v>
      </c>
      <c r="AD416" s="771">
        <f>SUMIF(AK405:AK424,"수국",K405:K424)+SUMIF(AK405:AK424,"수공",K405:K424)</f>
        <v>0</v>
      </c>
      <c r="AE416" s="770">
        <f t="shared" si="127"/>
        <v>0</v>
      </c>
      <c r="AF416" s="771">
        <f t="shared" si="128"/>
        <v>0</v>
      </c>
      <c r="AG416" s="770" t="s">
        <v>26</v>
      </c>
      <c r="AH416" s="770">
        <f t="shared" si="129"/>
        <v>0</v>
      </c>
      <c r="AI416" s="771">
        <f t="shared" si="130"/>
        <v>0</v>
      </c>
      <c r="AJ416" s="770" t="str">
        <f t="shared" si="131"/>
        <v/>
      </c>
      <c r="AK416" s="770" t="str">
        <f t="shared" si="132"/>
        <v/>
      </c>
    </row>
    <row r="417" spans="1:38" s="773" customFormat="1" ht="24" hidden="1" customHeight="1" x14ac:dyDescent="0.15">
      <c r="A417" s="884">
        <v>393</v>
      </c>
      <c r="B417" s="972"/>
      <c r="C417" s="972"/>
      <c r="D417" s="972"/>
      <c r="E417" s="973"/>
      <c r="F417" s="973"/>
      <c r="G417" s="930"/>
      <c r="H417" s="987"/>
      <c r="I417" s="987"/>
      <c r="J417" s="930"/>
      <c r="K417" s="930"/>
      <c r="L417" s="988"/>
      <c r="M417" s="980"/>
      <c r="N417" s="991"/>
      <c r="O417" s="992"/>
      <c r="P417" s="980"/>
      <c r="Q417" s="980"/>
      <c r="R417" s="980"/>
      <c r="S417" s="982"/>
      <c r="T417" s="770" t="s">
        <v>35</v>
      </c>
      <c r="U417" s="770">
        <f>COUNTIF(D405:D424,"잡")</f>
        <v>0</v>
      </c>
      <c r="V417" s="771">
        <f>COUNTIF(I405:I424,"잡")</f>
        <v>0</v>
      </c>
      <c r="W417" s="770" t="s">
        <v>26</v>
      </c>
      <c r="X417" s="770">
        <f>SUMIF(D405:D424,"잡",F405:F424)</f>
        <v>0</v>
      </c>
      <c r="Y417" s="771">
        <f>SUMIF(I405:I424,"잡",K405:K424)</f>
        <v>0</v>
      </c>
      <c r="Z417" s="770">
        <f>COUNTIF(AJ405:AJ424,"잡국")+COUNTIF(AJ405:AJ424,"잡공")</f>
        <v>0</v>
      </c>
      <c r="AA417" s="771">
        <f>COUNTIF(AK405:AK424,"잡국")+COUNTIF(AK405:AK424,"잡공")</f>
        <v>0</v>
      </c>
      <c r="AB417" s="770" t="s">
        <v>26</v>
      </c>
      <c r="AC417" s="770">
        <f>SUMIF(AJ405:AJ424,"잡국",F405:F424)+SUMIF(AJ405:AJ424,"잡공",F405:F424)</f>
        <v>0</v>
      </c>
      <c r="AD417" s="771">
        <f>SUMIF(AK405:AK424,"잡국",K405:K424)+SUMIF(AK405:AK424,"잡공",K405:K424)</f>
        <v>0</v>
      </c>
      <c r="AE417" s="770">
        <f t="shared" si="127"/>
        <v>0</v>
      </c>
      <c r="AF417" s="771">
        <f t="shared" si="128"/>
        <v>0</v>
      </c>
      <c r="AG417" s="770" t="s">
        <v>26</v>
      </c>
      <c r="AH417" s="770">
        <f t="shared" si="129"/>
        <v>0</v>
      </c>
      <c r="AI417" s="771">
        <f t="shared" si="130"/>
        <v>0</v>
      </c>
      <c r="AJ417" s="770" t="str">
        <f t="shared" si="131"/>
        <v/>
      </c>
      <c r="AK417" s="770" t="str">
        <f t="shared" si="132"/>
        <v/>
      </c>
    </row>
    <row r="418" spans="1:38" s="773" customFormat="1" ht="24" hidden="1" customHeight="1" x14ac:dyDescent="0.15">
      <c r="A418" s="884">
        <v>394</v>
      </c>
      <c r="B418" s="972"/>
      <c r="C418" s="972"/>
      <c r="D418" s="972"/>
      <c r="E418" s="973"/>
      <c r="F418" s="973"/>
      <c r="G418" s="930"/>
      <c r="H418" s="987"/>
      <c r="I418" s="987"/>
      <c r="J418" s="930"/>
      <c r="K418" s="930"/>
      <c r="L418" s="988"/>
      <c r="M418" s="980"/>
      <c r="N418" s="991"/>
      <c r="O418" s="992"/>
      <c r="P418" s="980"/>
      <c r="Q418" s="980"/>
      <c r="R418" s="980"/>
      <c r="S418" s="982"/>
      <c r="T418" s="770" t="s">
        <v>51</v>
      </c>
      <c r="U418" s="770">
        <f>COUNTIF(D405:D424,"체")</f>
        <v>0</v>
      </c>
      <c r="V418" s="771">
        <f>COUNTIF(I405:I424,"체")</f>
        <v>0</v>
      </c>
      <c r="W418" s="770" t="s">
        <v>26</v>
      </c>
      <c r="X418" s="770">
        <f>SUMIF(D405:D424,"체",F405:F424)</f>
        <v>0</v>
      </c>
      <c r="Y418" s="771">
        <f>SUMIF(I405:I424,"체",K405:K424)</f>
        <v>0</v>
      </c>
      <c r="Z418" s="770">
        <f>COUNTIF(AJ405:AJ424,"체국")+COUNTIF(AJ405:AJ424,"체공")</f>
        <v>0</v>
      </c>
      <c r="AA418" s="771">
        <f>COUNTIF(AK405:AK424,"체국")+COUNTIF(AK405:AK424,"체공")</f>
        <v>0</v>
      </c>
      <c r="AB418" s="770" t="s">
        <v>26</v>
      </c>
      <c r="AC418" s="770">
        <f>SUMIF(AJ405:AJ424,"체국",F405:F424)+SUMIF(AJ405:AJ424,"체공",F405:F424)</f>
        <v>0</v>
      </c>
      <c r="AD418" s="771">
        <f>SUMIF(AK405:AK424,"체국",K405:K424)+SUMIF(AK405:AK424,"체공",K405:K424)</f>
        <v>0</v>
      </c>
      <c r="AE418" s="770">
        <f t="shared" si="127"/>
        <v>0</v>
      </c>
      <c r="AF418" s="771">
        <f t="shared" si="128"/>
        <v>0</v>
      </c>
      <c r="AG418" s="770" t="s">
        <v>26</v>
      </c>
      <c r="AH418" s="770">
        <f t="shared" si="129"/>
        <v>0</v>
      </c>
      <c r="AI418" s="771">
        <f t="shared" si="130"/>
        <v>0</v>
      </c>
      <c r="AJ418" s="770" t="str">
        <f t="shared" si="131"/>
        <v/>
      </c>
      <c r="AK418" s="770" t="str">
        <f t="shared" si="132"/>
        <v/>
      </c>
    </row>
    <row r="419" spans="1:38" s="773" customFormat="1" ht="24" hidden="1" customHeight="1" x14ac:dyDescent="0.15">
      <c r="A419" s="884">
        <v>395</v>
      </c>
      <c r="B419" s="972"/>
      <c r="C419" s="972"/>
      <c r="D419" s="972"/>
      <c r="E419" s="973"/>
      <c r="F419" s="973"/>
      <c r="G419" s="930"/>
      <c r="H419" s="987"/>
      <c r="I419" s="987"/>
      <c r="J419" s="930"/>
      <c r="K419" s="930"/>
      <c r="L419" s="988"/>
      <c r="M419" s="980"/>
      <c r="N419" s="991"/>
      <c r="O419" s="992"/>
      <c r="P419" s="980"/>
      <c r="Q419" s="980"/>
      <c r="R419" s="980"/>
      <c r="S419" s="982"/>
      <c r="T419" s="770" t="s">
        <v>50</v>
      </c>
      <c r="U419" s="770">
        <f>COUNTIF(D405:D424,"공")</f>
        <v>0</v>
      </c>
      <c r="V419" s="771">
        <f>COUNTIF(I405:I424,"공")</f>
        <v>0</v>
      </c>
      <c r="W419" s="770" t="s">
        <v>26</v>
      </c>
      <c r="X419" s="770">
        <f>SUMIF(D405:D424,"공",F405:F424)</f>
        <v>0</v>
      </c>
      <c r="Y419" s="771">
        <f>SUMIF(I405:I424,"공",K405:K424)</f>
        <v>0</v>
      </c>
      <c r="Z419" s="770">
        <f>COUNTIF(AJ405:AJ424,"공국")+COUNTIF(AJ405:AJ424,"공공")</f>
        <v>0</v>
      </c>
      <c r="AA419" s="771">
        <f>COUNTIF(AK405:AK424,"공국")+COUNTIF(AK405:AK424,"공공")</f>
        <v>0</v>
      </c>
      <c r="AB419" s="770" t="s">
        <v>26</v>
      </c>
      <c r="AC419" s="770">
        <f>SUMIF(AJ405:AJ424,"공국",F405:F424)+SUMIF(AJ405:AJ424,"공공",F405:F424)</f>
        <v>0</v>
      </c>
      <c r="AD419" s="771">
        <f>SUMIF(AK405:AK424,"공국",K405:K424)+SUMIF(AK405:AK424,"공공",K405:K424)</f>
        <v>0</v>
      </c>
      <c r="AE419" s="770">
        <f t="shared" si="127"/>
        <v>0</v>
      </c>
      <c r="AF419" s="771">
        <f t="shared" si="128"/>
        <v>0</v>
      </c>
      <c r="AG419" s="770" t="s">
        <v>26</v>
      </c>
      <c r="AH419" s="770">
        <f t="shared" si="129"/>
        <v>0</v>
      </c>
      <c r="AI419" s="771">
        <f t="shared" si="130"/>
        <v>0</v>
      </c>
      <c r="AJ419" s="770" t="str">
        <f t="shared" si="131"/>
        <v/>
      </c>
      <c r="AK419" s="770" t="str">
        <f t="shared" si="132"/>
        <v/>
      </c>
    </row>
    <row r="420" spans="1:38" s="773" customFormat="1" ht="24" hidden="1" customHeight="1" x14ac:dyDescent="0.15">
      <c r="A420" s="884">
        <v>396</v>
      </c>
      <c r="B420" s="972"/>
      <c r="C420" s="972"/>
      <c r="D420" s="972"/>
      <c r="E420" s="973"/>
      <c r="F420" s="973"/>
      <c r="G420" s="930"/>
      <c r="H420" s="987"/>
      <c r="I420" s="987"/>
      <c r="J420" s="930"/>
      <c r="K420" s="930"/>
      <c r="L420" s="988"/>
      <c r="M420" s="980"/>
      <c r="N420" s="991"/>
      <c r="O420" s="992"/>
      <c r="P420" s="980"/>
      <c r="Q420" s="980"/>
      <c r="R420" s="980"/>
      <c r="S420" s="982"/>
      <c r="T420" s="791" t="s">
        <v>40</v>
      </c>
      <c r="U420" s="770">
        <f>COUNTIF(D405:D424,"장")</f>
        <v>0</v>
      </c>
      <c r="V420" s="771">
        <f>COUNTIF(I405:I424,"장")</f>
        <v>0</v>
      </c>
      <c r="W420" s="770" t="s">
        <v>26</v>
      </c>
      <c r="X420" s="770">
        <f>SUMIF(D405:D424,"장",F405:F424)</f>
        <v>0</v>
      </c>
      <c r="Y420" s="771">
        <f>SUMIF(I405:I424,"장",K405:K424)</f>
        <v>0</v>
      </c>
      <c r="Z420" s="770">
        <f>COUNTIF(AJ405:AJ424,"장국")+COUNTIF(AJ405:AJ424,"장공")</f>
        <v>0</v>
      </c>
      <c r="AA420" s="771">
        <f>COUNTIF(AK405:AK424,"장국")+COUNTIF(AK405:AK424,"장공")</f>
        <v>0</v>
      </c>
      <c r="AB420" s="770" t="s">
        <v>26</v>
      </c>
      <c r="AC420" s="770">
        <f>SUMIF(AJ405:AJ424,"장국",F405:F424)+SUMIF(AJ405:AJ424,"장공",F405:F424)</f>
        <v>0</v>
      </c>
      <c r="AD420" s="771">
        <f>SUMIF(AK405:AK424,"장국",K405:K424)+SUMIF(AK405:AK424,"장공",K405:K424)</f>
        <v>0</v>
      </c>
      <c r="AE420" s="770">
        <f t="shared" si="127"/>
        <v>0</v>
      </c>
      <c r="AF420" s="771">
        <f t="shared" si="128"/>
        <v>0</v>
      </c>
      <c r="AG420" s="770" t="s">
        <v>26</v>
      </c>
      <c r="AH420" s="770">
        <f t="shared" si="129"/>
        <v>0</v>
      </c>
      <c r="AI420" s="771">
        <f t="shared" si="130"/>
        <v>0</v>
      </c>
      <c r="AJ420" s="770" t="str">
        <f t="shared" si="131"/>
        <v/>
      </c>
      <c r="AK420" s="770" t="str">
        <f t="shared" si="132"/>
        <v/>
      </c>
    </row>
    <row r="421" spans="1:38" s="773" customFormat="1" ht="24" hidden="1" customHeight="1" x14ac:dyDescent="0.15">
      <c r="A421" s="884">
        <v>397</v>
      </c>
      <c r="B421" s="972"/>
      <c r="C421" s="972"/>
      <c r="D421" s="972"/>
      <c r="E421" s="973"/>
      <c r="F421" s="973"/>
      <c r="G421" s="930"/>
      <c r="H421" s="987"/>
      <c r="I421" s="987"/>
      <c r="J421" s="930"/>
      <c r="K421" s="930"/>
      <c r="L421" s="988"/>
      <c r="M421" s="980"/>
      <c r="N421" s="991"/>
      <c r="O421" s="992"/>
      <c r="P421" s="980"/>
      <c r="Q421" s="980"/>
      <c r="R421" s="980"/>
      <c r="S421" s="982"/>
      <c r="T421" s="791" t="s">
        <v>5</v>
      </c>
      <c r="U421" s="770">
        <f>COUNTIF(D405:D424,"목")</f>
        <v>0</v>
      </c>
      <c r="V421" s="771">
        <f>COUNTIF(I405:I424,"목")</f>
        <v>0</v>
      </c>
      <c r="W421" s="770" t="s">
        <v>26</v>
      </c>
      <c r="X421" s="770">
        <f>SUMIF(D405:D424,"목",F405:F424)</f>
        <v>0</v>
      </c>
      <c r="Y421" s="771">
        <f>SUMIF(I405:I424,"목",K405:K424)</f>
        <v>0</v>
      </c>
      <c r="Z421" s="770">
        <f>COUNTIF(AJ405:AJ424,"목국")+COUNTIF(AJ405:AJ424,"목공")</f>
        <v>0</v>
      </c>
      <c r="AA421" s="771">
        <f>COUNTIF(AK405:AK424,"목국")+COUNTIF(AK405:AK424,"목공")</f>
        <v>0</v>
      </c>
      <c r="AB421" s="770" t="s">
        <v>26</v>
      </c>
      <c r="AC421" s="770">
        <f>SUMIF(AJ405:AJ424,"목국",F405:F424)+SUMIF(AJ405:AJ424,"목공",F405:F424)</f>
        <v>0</v>
      </c>
      <c r="AD421" s="771">
        <f>SUMIF(AK405:AK424,"목국",K405:K424)+SUMIF(AK405:AK424,"목공",K405:K424)</f>
        <v>0</v>
      </c>
      <c r="AE421" s="770">
        <f t="shared" si="127"/>
        <v>0</v>
      </c>
      <c r="AF421" s="771">
        <f t="shared" si="128"/>
        <v>0</v>
      </c>
      <c r="AG421" s="770" t="s">
        <v>26</v>
      </c>
      <c r="AH421" s="770">
        <f t="shared" si="129"/>
        <v>0</v>
      </c>
      <c r="AI421" s="771">
        <f t="shared" si="130"/>
        <v>0</v>
      </c>
      <c r="AJ421" s="770" t="str">
        <f t="shared" si="131"/>
        <v/>
      </c>
      <c r="AK421" s="770" t="str">
        <f t="shared" si="132"/>
        <v/>
      </c>
    </row>
    <row r="422" spans="1:38" s="773" customFormat="1" ht="24" hidden="1" customHeight="1" x14ac:dyDescent="0.15">
      <c r="A422" s="884"/>
      <c r="B422" s="972"/>
      <c r="C422" s="972"/>
      <c r="D422" s="972"/>
      <c r="E422" s="973"/>
      <c r="F422" s="973"/>
      <c r="G422" s="930"/>
      <c r="H422" s="987"/>
      <c r="I422" s="987"/>
      <c r="J422" s="930"/>
      <c r="K422" s="930"/>
      <c r="L422" s="988"/>
      <c r="M422" s="980"/>
      <c r="N422" s="991"/>
      <c r="O422" s="992"/>
      <c r="P422" s="980"/>
      <c r="Q422" s="980"/>
      <c r="R422" s="980"/>
      <c r="S422" s="982"/>
      <c r="T422" s="791"/>
      <c r="U422" s="791"/>
      <c r="V422" s="792"/>
      <c r="W422" s="791"/>
      <c r="X422" s="791"/>
      <c r="Y422" s="792"/>
      <c r="Z422" s="770"/>
      <c r="AA422" s="771"/>
      <c r="AB422" s="791"/>
      <c r="AC422" s="770"/>
      <c r="AD422" s="771"/>
      <c r="AE422" s="791"/>
      <c r="AF422" s="792"/>
      <c r="AG422" s="791"/>
      <c r="AH422" s="791"/>
      <c r="AI422" s="792"/>
      <c r="AJ422" s="770" t="str">
        <f t="shared" si="131"/>
        <v/>
      </c>
      <c r="AK422" s="770" t="str">
        <f t="shared" si="132"/>
        <v/>
      </c>
    </row>
    <row r="423" spans="1:38" s="773" customFormat="1" ht="24" hidden="1" customHeight="1" x14ac:dyDescent="0.15">
      <c r="A423" s="884"/>
      <c r="B423" s="972"/>
      <c r="C423" s="972"/>
      <c r="D423" s="972"/>
      <c r="E423" s="973"/>
      <c r="F423" s="973"/>
      <c r="G423" s="930"/>
      <c r="H423" s="987"/>
      <c r="I423" s="987"/>
      <c r="J423" s="930"/>
      <c r="K423" s="930"/>
      <c r="L423" s="988"/>
      <c r="M423" s="980"/>
      <c r="N423" s="991"/>
      <c r="O423" s="992"/>
      <c r="P423" s="980"/>
      <c r="Q423" s="980"/>
      <c r="R423" s="980"/>
      <c r="S423" s="982"/>
      <c r="T423" s="791"/>
      <c r="U423" s="791"/>
      <c r="V423" s="792"/>
      <c r="W423" s="791"/>
      <c r="X423" s="791"/>
      <c r="Y423" s="792"/>
      <c r="Z423" s="770"/>
      <c r="AA423" s="771"/>
      <c r="AB423" s="791"/>
      <c r="AC423" s="770"/>
      <c r="AD423" s="771"/>
      <c r="AE423" s="791"/>
      <c r="AF423" s="792"/>
      <c r="AG423" s="791"/>
      <c r="AH423" s="791"/>
      <c r="AI423" s="792"/>
      <c r="AJ423" s="770" t="str">
        <f t="shared" si="131"/>
        <v/>
      </c>
      <c r="AK423" s="770" t="str">
        <f t="shared" si="132"/>
        <v/>
      </c>
    </row>
    <row r="424" spans="1:38" s="773" customFormat="1" ht="24" hidden="1" customHeight="1" thickBot="1" x14ac:dyDescent="0.2">
      <c r="A424" s="1082" t="s">
        <v>48</v>
      </c>
      <c r="B424" s="1083"/>
      <c r="C424" s="1083"/>
      <c r="D424" s="1083"/>
      <c r="E424" s="1084"/>
      <c r="F424" s="798">
        <f>SUM(F405:F423)</f>
        <v>0</v>
      </c>
      <c r="G424" s="993"/>
      <c r="H424" s="994"/>
      <c r="I424" s="994"/>
      <c r="J424" s="993"/>
      <c r="K424" s="971">
        <f>SUM(K405:K423)</f>
        <v>0</v>
      </c>
      <c r="L424" s="995"/>
      <c r="M424" s="996"/>
      <c r="N424" s="997"/>
      <c r="O424" s="998"/>
      <c r="P424" s="996"/>
      <c r="Q424" s="996"/>
      <c r="R424" s="996"/>
      <c r="S424" s="999"/>
      <c r="T424" s="794" t="s">
        <v>37</v>
      </c>
      <c r="U424" s="794">
        <f>COUNTIF(D405:D424,"철")</f>
        <v>0</v>
      </c>
      <c r="V424" s="795">
        <f>COUNTIF(I405:I424,"철")</f>
        <v>0</v>
      </c>
      <c r="W424" s="794" t="s">
        <v>26</v>
      </c>
      <c r="X424" s="794">
        <f>SUMIF(D405:D424,"철",F405:F424)</f>
        <v>0</v>
      </c>
      <c r="Y424" s="795">
        <f>SUMIF(I405:I424,"철",K405:K424)</f>
        <v>0</v>
      </c>
      <c r="Z424" s="770">
        <f>COUNTIF(AJ405:AJ424,"철국")+COUNTIF(AJ405:AJ424,"철공")</f>
        <v>0</v>
      </c>
      <c r="AA424" s="771">
        <f>COUNTIF(AK405:AK424,"철국")+COUNTIF(AK405:AK424,"철공")</f>
        <v>0</v>
      </c>
      <c r="AB424" s="794" t="s">
        <v>26</v>
      </c>
      <c r="AC424" s="770">
        <f>SUMIF(AJ405:AJ424,"철국",F405:F424)+SUMIF(AJ405:AJ424,"철공",F405:F424)</f>
        <v>0</v>
      </c>
      <c r="AD424" s="771">
        <f>SUMIF(AK405:AK424,"철국",K405:K424)+SUMIF(AK405:AK424,"철공",K405:K424)</f>
        <v>0</v>
      </c>
      <c r="AE424" s="794"/>
      <c r="AF424" s="795"/>
      <c r="AG424" s="794"/>
      <c r="AH424" s="794"/>
      <c r="AI424" s="795"/>
      <c r="AJ424" s="770" t="str">
        <f t="shared" si="131"/>
        <v/>
      </c>
      <c r="AK424" s="770" t="str">
        <f t="shared" si="132"/>
        <v/>
      </c>
    </row>
    <row r="425" spans="1:38" s="773" customFormat="1" ht="24" customHeight="1" thickBot="1" x14ac:dyDescent="0.2">
      <c r="A425" s="1082" t="s">
        <v>212</v>
      </c>
      <c r="B425" s="1083"/>
      <c r="C425" s="1083"/>
      <c r="D425" s="1083"/>
      <c r="E425" s="1084"/>
      <c r="F425" s="798">
        <f>F26+F47+F68+F89+F110+F131+F152+F173+F194+F215+F236+F257+F278+F299+F320+F341+F362+F383+F404+F424</f>
        <v>29165</v>
      </c>
      <c r="G425" s="993"/>
      <c r="H425" s="994"/>
      <c r="I425" s="994"/>
      <c r="J425" s="993"/>
      <c r="K425" s="1014">
        <f>K26+K47+K68+K89+K110+K131+K152+K173+K194+K215+K236+K257+K278+K299+K320+K341+K362+K383+K404+K424</f>
        <v>26921</v>
      </c>
      <c r="L425" s="995"/>
      <c r="M425" s="996"/>
      <c r="N425" s="997"/>
      <c r="O425" s="998"/>
      <c r="P425" s="996"/>
      <c r="Q425" s="996"/>
      <c r="R425" s="996"/>
      <c r="S425" s="999"/>
      <c r="T425" s="806" t="s">
        <v>24</v>
      </c>
      <c r="U425" s="807">
        <f t="shared" ref="U425:AA425" si="133">SUM(U405:U424)</f>
        <v>0</v>
      </c>
      <c r="V425" s="807">
        <f t="shared" si="133"/>
        <v>0</v>
      </c>
      <c r="W425" s="807">
        <f t="shared" si="133"/>
        <v>0</v>
      </c>
      <c r="X425" s="807">
        <f t="shared" si="133"/>
        <v>0</v>
      </c>
      <c r="Y425" s="807">
        <f t="shared" si="133"/>
        <v>0</v>
      </c>
      <c r="Z425" s="822">
        <f t="shared" si="133"/>
        <v>0</v>
      </c>
      <c r="AA425" s="823">
        <f t="shared" si="133"/>
        <v>0</v>
      </c>
      <c r="AB425" s="822" t="s">
        <v>26</v>
      </c>
      <c r="AC425" s="822">
        <f>SUM(AC405:AC424)</f>
        <v>0</v>
      </c>
      <c r="AD425" s="823">
        <f>SUM(AD405:AD424)</f>
        <v>0</v>
      </c>
      <c r="AE425" s="807">
        <f>SUM(AE405:AE424)</f>
        <v>0</v>
      </c>
      <c r="AF425" s="807">
        <f>SUM(AF405:AF424)</f>
        <v>0</v>
      </c>
      <c r="AG425" s="807" t="s">
        <v>26</v>
      </c>
      <c r="AH425" s="807">
        <f>SUM(AH405:AH424)</f>
        <v>0</v>
      </c>
      <c r="AI425" s="807">
        <f>SUM(AI405:AI424)</f>
        <v>0</v>
      </c>
      <c r="AJ425" s="807"/>
      <c r="AK425" s="755"/>
      <c r="AL425" s="772"/>
    </row>
    <row r="426" spans="1:38" s="773" customFormat="1" ht="21.95" customHeight="1" x14ac:dyDescent="0.15">
      <c r="A426" s="1007"/>
      <c r="E426" s="1008"/>
      <c r="F426" s="1008"/>
      <c r="G426" s="1008"/>
      <c r="J426" s="1008"/>
      <c r="K426" s="1009"/>
      <c r="L426" s="1010"/>
      <c r="M426" s="1011"/>
      <c r="N426" s="1010"/>
      <c r="O426" s="1011"/>
      <c r="V426" s="1012"/>
      <c r="Y426" s="1012"/>
      <c r="AA426" s="1012"/>
      <c r="AD426" s="1012"/>
      <c r="AF426" s="1012"/>
      <c r="AI426" s="1012"/>
    </row>
    <row r="427" spans="1:38" s="773" customFormat="1" ht="21.95" customHeight="1" x14ac:dyDescent="0.15">
      <c r="A427" s="1007"/>
      <c r="E427" s="1008"/>
      <c r="F427" s="1008"/>
      <c r="G427" s="1008"/>
      <c r="J427" s="1008"/>
      <c r="K427" s="1009"/>
      <c r="L427" s="1010"/>
      <c r="M427" s="1011"/>
      <c r="N427" s="1010"/>
      <c r="O427" s="1011"/>
      <c r="V427" s="1012"/>
      <c r="Y427" s="1012"/>
      <c r="AA427" s="1012"/>
      <c r="AD427" s="1012"/>
      <c r="AF427" s="1012"/>
      <c r="AI427" s="1012"/>
    </row>
    <row r="428" spans="1:38" ht="21.95" customHeight="1" x14ac:dyDescent="0.15">
      <c r="A428" s="60"/>
    </row>
    <row r="429" spans="1:38" ht="21.95" customHeight="1" x14ac:dyDescent="0.15">
      <c r="A429" s="60"/>
      <c r="I429" s="625"/>
      <c r="J429" s="626"/>
      <c r="K429" s="627"/>
      <c r="L429" s="628"/>
      <c r="M429" s="629"/>
    </row>
    <row r="430" spans="1:38" ht="21.95" customHeight="1" x14ac:dyDescent="0.15">
      <c r="A430" s="60"/>
      <c r="I430" s="625"/>
      <c r="J430" s="626"/>
      <c r="K430" s="630"/>
      <c r="L430" s="628"/>
      <c r="M430" s="629"/>
    </row>
    <row r="431" spans="1:38" ht="21.95" customHeight="1" x14ac:dyDescent="0.15">
      <c r="A431" s="60"/>
      <c r="I431" s="625"/>
      <c r="J431" s="626"/>
      <c r="K431" s="630"/>
      <c r="L431" s="628"/>
      <c r="M431" s="629"/>
    </row>
    <row r="432" spans="1:38" ht="21.95" customHeight="1" x14ac:dyDescent="0.15">
      <c r="A432" s="60"/>
      <c r="I432" s="625"/>
      <c r="J432" s="626"/>
      <c r="K432" s="630"/>
      <c r="L432" s="628"/>
      <c r="M432" s="629"/>
    </row>
    <row r="433" spans="1:13" ht="21.95" customHeight="1" x14ac:dyDescent="0.15">
      <c r="A433" s="60"/>
      <c r="I433" s="625"/>
      <c r="J433" s="626"/>
      <c r="K433" s="630"/>
      <c r="L433" s="628"/>
      <c r="M433" s="629"/>
    </row>
    <row r="434" spans="1:13" ht="21.95" customHeight="1" x14ac:dyDescent="0.15">
      <c r="A434" s="60"/>
      <c r="I434" s="625"/>
      <c r="J434" s="626"/>
      <c r="K434" s="630"/>
      <c r="L434" s="628"/>
      <c r="M434" s="629"/>
    </row>
    <row r="435" spans="1:13" ht="21.95" customHeight="1" x14ac:dyDescent="0.15">
      <c r="A435" s="60"/>
      <c r="I435" s="625"/>
      <c r="J435" s="626"/>
      <c r="K435" s="630"/>
      <c r="L435" s="628"/>
      <c r="M435" s="629"/>
    </row>
    <row r="436" spans="1:13" ht="21.95" customHeight="1" x14ac:dyDescent="0.15">
      <c r="A436" s="60"/>
      <c r="I436" s="625"/>
      <c r="J436" s="626"/>
      <c r="K436" s="630"/>
      <c r="L436" s="628"/>
      <c r="M436" s="629"/>
    </row>
    <row r="437" spans="1:13" ht="21.95" customHeight="1" x14ac:dyDescent="0.15">
      <c r="A437" s="60"/>
      <c r="I437" s="625"/>
      <c r="J437" s="626"/>
      <c r="K437" s="630"/>
      <c r="L437" s="628"/>
      <c r="M437" s="629"/>
    </row>
    <row r="438" spans="1:13" ht="21.95" customHeight="1" x14ac:dyDescent="0.15">
      <c r="A438" s="60"/>
      <c r="I438" s="625"/>
      <c r="J438" s="626"/>
      <c r="K438" s="630"/>
      <c r="L438" s="628"/>
      <c r="M438" s="629"/>
    </row>
    <row r="439" spans="1:13" ht="21.95" customHeight="1" x14ac:dyDescent="0.15">
      <c r="A439" s="60"/>
      <c r="I439" s="625"/>
      <c r="J439" s="626"/>
      <c r="K439" s="627"/>
      <c r="L439" s="628"/>
      <c r="M439" s="629"/>
    </row>
    <row r="440" spans="1:13" ht="21.95" customHeight="1" x14ac:dyDescent="0.15">
      <c r="A440" s="60"/>
      <c r="I440" s="625"/>
      <c r="J440" s="626"/>
      <c r="K440" s="627"/>
      <c r="L440" s="628"/>
      <c r="M440" s="629"/>
    </row>
    <row r="441" spans="1:13" ht="21.95" customHeight="1" x14ac:dyDescent="0.15">
      <c r="A441" s="60"/>
      <c r="I441" s="625"/>
      <c r="J441" s="626"/>
      <c r="K441" s="627"/>
      <c r="L441" s="628"/>
      <c r="M441" s="629"/>
    </row>
    <row r="442" spans="1:13" ht="21.95" customHeight="1" x14ac:dyDescent="0.15">
      <c r="A442" s="60"/>
      <c r="I442" s="625"/>
      <c r="J442" s="626"/>
      <c r="K442" s="627"/>
      <c r="L442" s="628"/>
      <c r="M442" s="629"/>
    </row>
    <row r="443" spans="1:13" ht="21.95" customHeight="1" x14ac:dyDescent="0.15">
      <c r="A443" s="60"/>
    </row>
    <row r="444" spans="1:13" ht="21.95" customHeight="1" x14ac:dyDescent="0.15">
      <c r="A444" s="60"/>
    </row>
    <row r="445" spans="1:13" ht="21.95" customHeight="1" x14ac:dyDescent="0.15">
      <c r="A445" s="60"/>
    </row>
    <row r="446" spans="1:13" ht="21.95" customHeight="1" x14ac:dyDescent="0.15">
      <c r="A446" s="60"/>
    </row>
    <row r="447" spans="1:13" ht="21.95" customHeight="1" x14ac:dyDescent="0.15">
      <c r="A447" s="60"/>
    </row>
    <row r="448" spans="1:13" ht="21.95" customHeight="1" x14ac:dyDescent="0.15">
      <c r="A448" s="60"/>
    </row>
    <row r="449" spans="1:1" ht="21.95" customHeight="1" x14ac:dyDescent="0.15">
      <c r="A449" s="60"/>
    </row>
    <row r="450" spans="1:1" ht="21.95" customHeight="1" x14ac:dyDescent="0.15">
      <c r="A450" s="60"/>
    </row>
    <row r="451" spans="1:1" ht="21.95" customHeight="1" x14ac:dyDescent="0.15">
      <c r="A451" s="60"/>
    </row>
    <row r="452" spans="1:1" ht="21.95" customHeight="1" x14ac:dyDescent="0.15">
      <c r="A452" s="60"/>
    </row>
    <row r="453" spans="1:1" ht="21.95" customHeight="1" x14ac:dyDescent="0.15">
      <c r="A453" s="60"/>
    </row>
    <row r="454" spans="1:1" ht="21.95" customHeight="1" x14ac:dyDescent="0.15">
      <c r="A454" s="60"/>
    </row>
    <row r="455" spans="1:1" ht="21.95" customHeight="1" x14ac:dyDescent="0.15">
      <c r="A455" s="60"/>
    </row>
    <row r="456" spans="1:1" ht="21.95" customHeight="1" x14ac:dyDescent="0.15">
      <c r="A456" s="60"/>
    </row>
    <row r="457" spans="1:1" ht="21.95" customHeight="1" x14ac:dyDescent="0.15">
      <c r="A457" s="60"/>
    </row>
    <row r="458" spans="1:1" ht="21.95" customHeight="1" x14ac:dyDescent="0.15">
      <c r="A458" s="60"/>
    </row>
    <row r="459" spans="1:1" ht="21.95" customHeight="1" x14ac:dyDescent="0.15">
      <c r="A459" s="60"/>
    </row>
    <row r="460" spans="1:1" ht="21.95" customHeight="1" x14ac:dyDescent="0.15">
      <c r="A460" s="60"/>
    </row>
    <row r="461" spans="1:1" ht="21.95" customHeight="1" x14ac:dyDescent="0.15">
      <c r="A461" s="60"/>
    </row>
    <row r="462" spans="1:1" ht="21.95" customHeight="1" x14ac:dyDescent="0.15">
      <c r="A462" s="60"/>
    </row>
    <row r="463" spans="1:1" ht="21.95" customHeight="1" x14ac:dyDescent="0.15">
      <c r="A463" s="60"/>
    </row>
    <row r="464" spans="1:1" ht="21.95" customHeight="1" x14ac:dyDescent="0.15">
      <c r="A464" s="60"/>
    </row>
    <row r="465" spans="1:1" ht="21.95" customHeight="1" x14ac:dyDescent="0.15">
      <c r="A465" s="60"/>
    </row>
    <row r="466" spans="1:1" ht="21.95" customHeight="1" x14ac:dyDescent="0.15">
      <c r="A466" s="60"/>
    </row>
    <row r="467" spans="1:1" ht="21.95" customHeight="1" x14ac:dyDescent="0.15">
      <c r="A467" s="60"/>
    </row>
  </sheetData>
  <autoFilter ref="C1:C467"/>
  <mergeCells count="15">
    <mergeCell ref="A299:E299"/>
    <mergeCell ref="A320:E320"/>
    <mergeCell ref="B4:B5"/>
    <mergeCell ref="C4:F4"/>
    <mergeCell ref="S4:S5"/>
    <mergeCell ref="A194:E194"/>
    <mergeCell ref="A4:A5"/>
    <mergeCell ref="G4:K4"/>
    <mergeCell ref="N4:O4"/>
    <mergeCell ref="A341:E341"/>
    <mergeCell ref="A362:E362"/>
    <mergeCell ref="A383:E383"/>
    <mergeCell ref="A404:E404"/>
    <mergeCell ref="A425:E425"/>
    <mergeCell ref="A424:E424"/>
  </mergeCells>
  <phoneticPr fontId="4" type="noConversion"/>
  <printOptions horizontalCentered="1"/>
  <pageMargins left="0.51181102362204722" right="0.23622047244094491" top="0.59055118110236227" bottom="7.874015748031496E-2" header="0.19685039370078741" footer="0"/>
  <pageSetup paperSize="9" scale="79" orientation="landscape" horizontalDpi="1200" verticalDpi="1200" r:id="rId1"/>
  <headerFooter alignWithMargins="0">
    <oddHeader xml:space="preserve">&amp;C
</oddHeader>
    <oddFooter xml:space="preserve">&amp;C
</oddFooter>
  </headerFooter>
  <rowBreaks count="4" manualBreakCount="4">
    <brk id="26" max="18" man="1"/>
    <brk id="47" max="18" man="1"/>
    <brk id="68" max="18" man="1"/>
    <brk id="89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7"/>
  <sheetViews>
    <sheetView showZeros="0" tabSelected="1" view="pageBreakPreview" topLeftCell="A40" zoomScaleNormal="100" zoomScaleSheetLayoutView="100" workbookViewId="0">
      <selection activeCell="J128" sqref="J128"/>
    </sheetView>
  </sheetViews>
  <sheetFormatPr defaultColWidth="6.109375" defaultRowHeight="21.95" customHeight="1" x14ac:dyDescent="0.15"/>
  <cols>
    <col min="1" max="1" width="4.33203125" style="61" customWidth="1"/>
    <col min="2" max="2" width="5.44140625" style="9" customWidth="1"/>
    <col min="3" max="3" width="6.77734375" style="9" customWidth="1"/>
    <col min="4" max="4" width="4.77734375" style="9" customWidth="1"/>
    <col min="5" max="5" width="6.88671875" style="16" customWidth="1"/>
    <col min="6" max="6" width="6.77734375" style="16" customWidth="1"/>
    <col min="7" max="7" width="6.33203125" style="16" hidden="1" customWidth="1"/>
    <col min="8" max="8" width="6.77734375" style="9" customWidth="1"/>
    <col min="9" max="9" width="4.77734375" style="9" customWidth="1"/>
    <col min="10" max="10" width="6.77734375" style="16" customWidth="1"/>
    <col min="11" max="11" width="6.6640625" style="17" customWidth="1"/>
    <col min="12" max="12" width="5.77734375" style="18" customWidth="1"/>
    <col min="13" max="13" width="20.77734375" style="86" customWidth="1"/>
    <col min="14" max="14" width="5.77734375" style="18" customWidth="1"/>
    <col min="15" max="15" width="20.77734375" style="86" customWidth="1"/>
    <col min="16" max="16" width="8.77734375" style="9" customWidth="1"/>
    <col min="17" max="17" width="15" style="9" customWidth="1"/>
    <col min="18" max="18" width="7.33203125" style="9" customWidth="1"/>
    <col min="19" max="19" width="6.88671875" style="9" customWidth="1"/>
    <col min="20" max="21" width="6.109375" style="9" customWidth="1"/>
    <col min="22" max="22" width="6.109375" style="41" customWidth="1"/>
    <col min="23" max="23" width="1.21875" style="9" customWidth="1"/>
    <col min="24" max="24" width="6.109375" style="9" customWidth="1"/>
    <col min="25" max="25" width="6.109375" style="41" customWidth="1"/>
    <col min="26" max="26" width="5" style="9" customWidth="1"/>
    <col min="27" max="27" width="5" style="41" customWidth="1"/>
    <col min="28" max="28" width="1" style="9" customWidth="1"/>
    <col min="29" max="29" width="6.109375" style="9" customWidth="1"/>
    <col min="30" max="30" width="7.21875" style="41" customWidth="1"/>
    <col min="31" max="31" width="6.109375" style="9" customWidth="1"/>
    <col min="32" max="32" width="6.109375" style="41" customWidth="1"/>
    <col min="33" max="33" width="1.109375" style="9" customWidth="1"/>
    <col min="34" max="34" width="5.33203125" style="9" customWidth="1"/>
    <col min="35" max="35" width="5.33203125" style="41" customWidth="1"/>
    <col min="36" max="36" width="8.88671875" style="9" customWidth="1"/>
    <col min="37" max="37" width="8" style="9" customWidth="1"/>
    <col min="38" max="16384" width="6.109375" style="9"/>
  </cols>
  <sheetData>
    <row r="1" spans="1:39" s="74" customFormat="1" ht="30" customHeight="1" x14ac:dyDescent="0.15">
      <c r="A1" s="108" t="s">
        <v>80</v>
      </c>
      <c r="B1" s="109"/>
      <c r="C1" s="109"/>
      <c r="D1" s="109"/>
      <c r="E1" s="109"/>
      <c r="F1" s="109"/>
      <c r="G1" s="109"/>
      <c r="H1" s="110"/>
      <c r="I1" s="111"/>
      <c r="J1" s="109"/>
      <c r="K1" s="112"/>
      <c r="L1" s="111"/>
      <c r="M1" s="111"/>
      <c r="N1" s="111"/>
      <c r="O1" s="111"/>
      <c r="P1" s="111"/>
      <c r="Q1" s="111"/>
      <c r="R1" s="111"/>
      <c r="S1" s="111"/>
    </row>
    <row r="2" spans="1:39" s="61" customFormat="1" ht="11.1" customHeight="1" x14ac:dyDescent="0.15">
      <c r="A2" s="113"/>
      <c r="B2" s="113"/>
      <c r="C2" s="113"/>
      <c r="D2" s="113"/>
      <c r="E2" s="113"/>
      <c r="F2" s="113"/>
      <c r="G2" s="113"/>
      <c r="H2" s="114"/>
      <c r="I2" s="115"/>
      <c r="J2" s="113"/>
      <c r="K2" s="116"/>
      <c r="L2" s="117"/>
      <c r="M2" s="117"/>
      <c r="N2" s="117"/>
      <c r="O2" s="117"/>
      <c r="P2" s="117"/>
      <c r="Q2" s="117"/>
      <c r="R2" s="117"/>
      <c r="S2" s="115"/>
    </row>
    <row r="3" spans="1:39" s="57" customFormat="1" ht="24.95" customHeight="1" thickBot="1" x14ac:dyDescent="0.2">
      <c r="A3" s="1126"/>
      <c r="B3" s="1127"/>
      <c r="C3" s="1127"/>
      <c r="D3" s="1127"/>
      <c r="E3" s="1127"/>
      <c r="F3" s="1127"/>
      <c r="G3" s="1127"/>
      <c r="H3" s="1128"/>
      <c r="I3" s="1129"/>
      <c r="J3" s="1127"/>
      <c r="K3" s="1130"/>
      <c r="L3" s="1131"/>
      <c r="M3" s="1132"/>
      <c r="N3" s="1131"/>
      <c r="O3" s="1132"/>
      <c r="P3" s="1132"/>
      <c r="Q3" s="1132"/>
      <c r="R3" s="1132"/>
      <c r="S3" s="1133" t="s">
        <v>214</v>
      </c>
      <c r="T3" s="1134"/>
      <c r="U3" s="1134"/>
      <c r="V3" s="1135"/>
      <c r="W3" s="1134"/>
      <c r="X3" s="1134"/>
      <c r="Y3" s="1134"/>
      <c r="Z3" s="1134"/>
      <c r="AA3" s="1134"/>
      <c r="AB3" s="1134"/>
      <c r="AC3" s="1134"/>
      <c r="AD3" s="1134"/>
      <c r="AE3" s="1134"/>
      <c r="AF3" s="1134"/>
      <c r="AG3" s="1134"/>
      <c r="AH3" s="1134"/>
      <c r="AI3" s="1134"/>
      <c r="AJ3" s="1134"/>
      <c r="AK3" s="1134"/>
    </row>
    <row r="4" spans="1:39" s="57" customFormat="1" ht="21" customHeight="1" x14ac:dyDescent="0.15">
      <c r="A4" s="1100" t="s">
        <v>21</v>
      </c>
      <c r="B4" s="1102" t="s">
        <v>67</v>
      </c>
      <c r="C4" s="1104" t="s">
        <v>68</v>
      </c>
      <c r="D4" s="1136"/>
      <c r="E4" s="1136"/>
      <c r="F4" s="1136"/>
      <c r="G4" s="1106" t="s">
        <v>6</v>
      </c>
      <c r="H4" s="1106"/>
      <c r="I4" s="1106"/>
      <c r="J4" s="1106"/>
      <c r="K4" s="1106"/>
      <c r="L4" s="162" t="s">
        <v>197</v>
      </c>
      <c r="M4" s="162"/>
      <c r="N4" s="1107" t="s">
        <v>198</v>
      </c>
      <c r="O4" s="1108"/>
      <c r="P4" s="162" t="s">
        <v>69</v>
      </c>
      <c r="Q4" s="162"/>
      <c r="R4" s="162"/>
      <c r="S4" s="1098" t="s">
        <v>25</v>
      </c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</row>
    <row r="5" spans="1:39" s="57" customFormat="1" ht="35.1" customHeight="1" thickBot="1" x14ac:dyDescent="0.2">
      <c r="A5" s="1101"/>
      <c r="B5" s="1103"/>
      <c r="C5" s="1039" t="s">
        <v>7</v>
      </c>
      <c r="D5" s="1039" t="s">
        <v>8</v>
      </c>
      <c r="E5" s="1039" t="s">
        <v>72</v>
      </c>
      <c r="F5" s="1040" t="s">
        <v>9</v>
      </c>
      <c r="G5" s="334" t="s">
        <v>10</v>
      </c>
      <c r="H5" s="1041" t="s">
        <v>7</v>
      </c>
      <c r="I5" s="1042" t="s">
        <v>8</v>
      </c>
      <c r="J5" s="1043" t="s">
        <v>0</v>
      </c>
      <c r="K5" s="1043" t="s">
        <v>9</v>
      </c>
      <c r="L5" s="422" t="s">
        <v>74</v>
      </c>
      <c r="M5" s="422" t="s">
        <v>75</v>
      </c>
      <c r="N5" s="334" t="s">
        <v>74</v>
      </c>
      <c r="O5" s="334" t="s">
        <v>75</v>
      </c>
      <c r="P5" s="196" t="s">
        <v>76</v>
      </c>
      <c r="Q5" s="196" t="s">
        <v>77</v>
      </c>
      <c r="R5" s="196" t="s">
        <v>78</v>
      </c>
      <c r="S5" s="1099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7"/>
      <c r="AF5" s="1137"/>
      <c r="AG5" s="1137"/>
      <c r="AH5" s="1134"/>
      <c r="AI5" s="1134"/>
      <c r="AJ5" s="1134"/>
      <c r="AK5" s="1134"/>
    </row>
    <row r="6" spans="1:39" s="67" customFormat="1" ht="24" customHeight="1" x14ac:dyDescent="0.15">
      <c r="A6" s="361">
        <v>1</v>
      </c>
      <c r="B6" s="318" t="s">
        <v>228</v>
      </c>
      <c r="C6" s="1016" t="s">
        <v>422</v>
      </c>
      <c r="D6" s="1016" t="s">
        <v>154</v>
      </c>
      <c r="E6" s="1033">
        <v>216</v>
      </c>
      <c r="F6" s="1033">
        <v>216</v>
      </c>
      <c r="G6" s="1025"/>
      <c r="H6" s="1025" t="s">
        <v>422</v>
      </c>
      <c r="I6" s="1025" t="s">
        <v>154</v>
      </c>
      <c r="J6" s="1036">
        <v>216</v>
      </c>
      <c r="K6" s="1036">
        <v>216</v>
      </c>
      <c r="L6" s="1016" t="s">
        <v>442</v>
      </c>
      <c r="M6" s="1024" t="s">
        <v>455</v>
      </c>
      <c r="N6" s="1025" t="s">
        <v>660</v>
      </c>
      <c r="O6" s="1026" t="s">
        <v>670</v>
      </c>
      <c r="P6" s="362"/>
      <c r="Q6" s="362"/>
      <c r="R6" s="362"/>
      <c r="S6" s="358"/>
      <c r="T6" s="1138" t="s">
        <v>27</v>
      </c>
      <c r="U6" s="1138">
        <f>COUNTIF(D6:D25,"전")</f>
        <v>3</v>
      </c>
      <c r="V6" s="1139">
        <f>COUNTIF(I6:I25,"전")</f>
        <v>3</v>
      </c>
      <c r="W6" s="1138" t="s">
        <v>26</v>
      </c>
      <c r="X6" s="1138">
        <f>SUMIF(D6:D25,"전",F6:F25)</f>
        <v>1864</v>
      </c>
      <c r="Y6" s="1139">
        <f>SUMIF(I6:I25,"전",K6:K25)</f>
        <v>1864</v>
      </c>
      <c r="Z6" s="1138">
        <f>COUNTIF(AJ6:AJ25,"전국")+COUNTIF(AJ6:AJ25,"전공")</f>
        <v>0</v>
      </c>
      <c r="AA6" s="1139">
        <f>COUNTIF(AK6:AK25,"전국")+COUNTIF(AK6:AK25,"전공")</f>
        <v>3</v>
      </c>
      <c r="AB6" s="1138" t="s">
        <v>26</v>
      </c>
      <c r="AC6" s="1138">
        <f>SUMIF(AJ6:AJ25,"전국",F6:F25)+SUMIF(AJ6:AJ25,"전공",F6:F25)</f>
        <v>0</v>
      </c>
      <c r="AD6" s="1139">
        <f>SUMIF(AK6:AK25,"전국",K6:K25)+SUMIF(AK6:AK25,"전공",K6:K25)</f>
        <v>1864</v>
      </c>
      <c r="AE6" s="1138">
        <f t="shared" ref="AE6:AF22" si="0">U6-Z6</f>
        <v>3</v>
      </c>
      <c r="AF6" s="1139">
        <f t="shared" si="0"/>
        <v>0</v>
      </c>
      <c r="AG6" s="1138" t="s">
        <v>26</v>
      </c>
      <c r="AH6" s="1138">
        <f t="shared" ref="AH6:AI22" si="1">X6-AC6</f>
        <v>1864</v>
      </c>
      <c r="AI6" s="1139">
        <f t="shared" si="1"/>
        <v>0</v>
      </c>
      <c r="AJ6" s="1138" t="str">
        <f t="shared" ref="AJ6:AJ25" si="2">CONCATENATE(D6,L6)</f>
        <v>도구병문</v>
      </c>
      <c r="AK6" s="1138" t="str">
        <f>CONCATENATE(I6,N6)</f>
        <v>도공</v>
      </c>
      <c r="AL6" s="66"/>
      <c r="AM6" s="66"/>
    </row>
    <row r="7" spans="1:39" s="67" customFormat="1" ht="24" customHeight="1" x14ac:dyDescent="0.15">
      <c r="A7" s="160">
        <v>2</v>
      </c>
      <c r="B7" s="222" t="s">
        <v>231</v>
      </c>
      <c r="C7" s="1016" t="s">
        <v>423</v>
      </c>
      <c r="D7" s="1016" t="s">
        <v>28</v>
      </c>
      <c r="E7" s="1033">
        <v>83</v>
      </c>
      <c r="F7" s="1033">
        <v>83</v>
      </c>
      <c r="G7" s="1025"/>
      <c r="H7" s="1025" t="s">
        <v>423</v>
      </c>
      <c r="I7" s="1025" t="s">
        <v>28</v>
      </c>
      <c r="J7" s="1036">
        <v>83</v>
      </c>
      <c r="K7" s="1036">
        <v>83</v>
      </c>
      <c r="L7" s="1016" t="s">
        <v>442</v>
      </c>
      <c r="M7" s="1024" t="s">
        <v>455</v>
      </c>
      <c r="N7" s="1025" t="s">
        <v>661</v>
      </c>
      <c r="O7" s="1026" t="s">
        <v>670</v>
      </c>
      <c r="P7" s="203"/>
      <c r="Q7" s="203"/>
      <c r="R7" s="203"/>
      <c r="S7" s="342"/>
      <c r="T7" s="1138" t="s">
        <v>28</v>
      </c>
      <c r="U7" s="1138">
        <f>COUNTIF(D6:D25,"답")</f>
        <v>2</v>
      </c>
      <c r="V7" s="1139">
        <f>COUNTIF(I6:I25,"답")</f>
        <v>2</v>
      </c>
      <c r="W7" s="1138" t="s">
        <v>26</v>
      </c>
      <c r="X7" s="1138">
        <f>SUMIF(D6:D25,"답",F6:F25)</f>
        <v>959</v>
      </c>
      <c r="Y7" s="1139">
        <f>SUMIF(I6:I25,"답",K6:K25)</f>
        <v>959</v>
      </c>
      <c r="Z7" s="1138">
        <f>COUNTIF(AJ6:AJ25,"답국")+COUNTIF(AJ6:AJ25,"답공")</f>
        <v>0</v>
      </c>
      <c r="AA7" s="1139">
        <f>COUNTIF(AK6:AK25,"답국")+COUNTIF(AK6:AK25,"답공")</f>
        <v>2</v>
      </c>
      <c r="AB7" s="1138" t="s">
        <v>26</v>
      </c>
      <c r="AC7" s="1138">
        <f>SUMIF(AJ6:AJ25,"답국",F6:F25)+SUMIF(AJ6:AJ25,"답공",F6:F25)</f>
        <v>0</v>
      </c>
      <c r="AD7" s="1139">
        <f>SUMIF(AK6:AK25,"답국",K6:K25)+SUMIF(AK6:AK25,"답공",K6:K25)</f>
        <v>959</v>
      </c>
      <c r="AE7" s="1138">
        <f t="shared" si="0"/>
        <v>2</v>
      </c>
      <c r="AF7" s="1139">
        <f t="shared" si="0"/>
        <v>0</v>
      </c>
      <c r="AG7" s="1138" t="s">
        <v>26</v>
      </c>
      <c r="AH7" s="1138">
        <f t="shared" si="1"/>
        <v>959</v>
      </c>
      <c r="AI7" s="1139">
        <f t="shared" si="1"/>
        <v>0</v>
      </c>
      <c r="AJ7" s="1138" t="str">
        <f t="shared" si="2"/>
        <v>답구병문</v>
      </c>
      <c r="AK7" s="1138" t="str">
        <f t="shared" ref="AK7:AK70" si="3">CONCATENATE(I7,N7)</f>
        <v>답공</v>
      </c>
      <c r="AL7" s="66"/>
      <c r="AM7" s="66"/>
    </row>
    <row r="8" spans="1:39" s="67" customFormat="1" ht="24" customHeight="1" x14ac:dyDescent="0.15">
      <c r="A8" s="160">
        <v>3</v>
      </c>
      <c r="B8" s="222" t="s">
        <v>231</v>
      </c>
      <c r="C8" s="1016" t="s">
        <v>424</v>
      </c>
      <c r="D8" s="1016" t="s">
        <v>298</v>
      </c>
      <c r="E8" s="1033">
        <v>22</v>
      </c>
      <c r="F8" s="1033">
        <v>22</v>
      </c>
      <c r="G8" s="1025"/>
      <c r="H8" s="1025" t="s">
        <v>424</v>
      </c>
      <c r="I8" s="1025" t="s">
        <v>298</v>
      </c>
      <c r="J8" s="1036">
        <v>22</v>
      </c>
      <c r="K8" s="1036">
        <v>22</v>
      </c>
      <c r="L8" s="1016" t="s">
        <v>440</v>
      </c>
      <c r="M8" s="1016" t="s">
        <v>441</v>
      </c>
      <c r="N8" s="1025" t="s">
        <v>660</v>
      </c>
      <c r="O8" s="1025" t="s">
        <v>669</v>
      </c>
      <c r="P8" s="203"/>
      <c r="Q8" s="203"/>
      <c r="R8" s="203"/>
      <c r="S8" s="342"/>
      <c r="T8" s="1138" t="s">
        <v>44</v>
      </c>
      <c r="U8" s="1138">
        <f>COUNTIF(D6:D25,"임")</f>
        <v>14</v>
      </c>
      <c r="V8" s="1139">
        <f>COUNTIF(I6:I25,"임")</f>
        <v>14</v>
      </c>
      <c r="W8" s="1138" t="s">
        <v>26</v>
      </c>
      <c r="X8" s="1138">
        <f>SUMIF(D6:D25,"임",F6:F25)</f>
        <v>22172</v>
      </c>
      <c r="Y8" s="1139">
        <f>SUMIF(I6:I25,"임",K6:K25)</f>
        <v>22172</v>
      </c>
      <c r="Z8" s="1138">
        <f>COUNTIF(AJ6:AJ25,"임국")+COUNTIF(AJ6:AJ25,"임공")</f>
        <v>0</v>
      </c>
      <c r="AA8" s="1139">
        <f>COUNTIF(AK6:AK25,"임국")+COUNTIF(AK6:AK25,"임공")</f>
        <v>14</v>
      </c>
      <c r="AB8" s="1138" t="s">
        <v>26</v>
      </c>
      <c r="AC8" s="1138">
        <f>SUMIF(AJ6:AJ25,"임국",F6:F25)+SUMIF(AJ6:AJ25,"임공",F6:F25)</f>
        <v>0</v>
      </c>
      <c r="AD8" s="1139">
        <f>SUMIF(AK6:AK25,"임국",K6:K25)+SUMIF(AK6:AK25,"임공",K6:K25)</f>
        <v>22172</v>
      </c>
      <c r="AE8" s="1138">
        <f t="shared" si="0"/>
        <v>14</v>
      </c>
      <c r="AF8" s="1139">
        <f t="shared" si="0"/>
        <v>0</v>
      </c>
      <c r="AG8" s="1138" t="s">
        <v>26</v>
      </c>
      <c r="AH8" s="1138">
        <f t="shared" si="1"/>
        <v>22172</v>
      </c>
      <c r="AI8" s="1139">
        <f t="shared" si="1"/>
        <v>0</v>
      </c>
      <c r="AJ8" s="1138" t="str">
        <f t="shared" si="2"/>
        <v>임박상훈</v>
      </c>
      <c r="AK8" s="1138" t="str">
        <f t="shared" si="3"/>
        <v>임공</v>
      </c>
      <c r="AL8" s="66"/>
      <c r="AM8" s="66"/>
    </row>
    <row r="9" spans="1:39" s="67" customFormat="1" ht="24" customHeight="1" x14ac:dyDescent="0.15">
      <c r="A9" s="160">
        <v>4</v>
      </c>
      <c r="B9" s="222" t="s">
        <v>231</v>
      </c>
      <c r="C9" s="1016" t="s">
        <v>425</v>
      </c>
      <c r="D9" s="1016" t="s">
        <v>298</v>
      </c>
      <c r="E9" s="1033">
        <v>9743</v>
      </c>
      <c r="F9" s="1033">
        <v>9743</v>
      </c>
      <c r="G9" s="1025"/>
      <c r="H9" s="1025" t="s">
        <v>425</v>
      </c>
      <c r="I9" s="1025" t="s">
        <v>298</v>
      </c>
      <c r="J9" s="1036">
        <v>9743</v>
      </c>
      <c r="K9" s="1036">
        <v>9743</v>
      </c>
      <c r="L9" s="1016" t="s">
        <v>439</v>
      </c>
      <c r="M9" s="1038" t="s">
        <v>454</v>
      </c>
      <c r="N9" s="1025" t="s">
        <v>661</v>
      </c>
      <c r="O9" s="1025" t="s">
        <v>670</v>
      </c>
      <c r="P9" s="203"/>
      <c r="Q9" s="203"/>
      <c r="R9" s="203"/>
      <c r="S9" s="342"/>
      <c r="T9" s="1138" t="s">
        <v>45</v>
      </c>
      <c r="U9" s="1138">
        <f>COUNTIF(D6:D25,"대")</f>
        <v>0</v>
      </c>
      <c r="V9" s="1139">
        <f>COUNTIF(I6:I25,"대")</f>
        <v>0</v>
      </c>
      <c r="W9" s="1138" t="s">
        <v>26</v>
      </c>
      <c r="X9" s="1138">
        <f>SUMIF(D6:D25,"대",F6:F25)</f>
        <v>0</v>
      </c>
      <c r="Y9" s="1139">
        <f>SUMIF(I6:I25,"대",K6:K25)</f>
        <v>0</v>
      </c>
      <c r="Z9" s="1138">
        <f>COUNTIF(AJ6:AJ25,"대국")+COUNTIF(AJ6:AJ25,"대공")</f>
        <v>0</v>
      </c>
      <c r="AA9" s="1139">
        <f>COUNTIF(AK6:AK25,"대국")+COUNTIF(AK6:AK25,"대공")</f>
        <v>0</v>
      </c>
      <c r="AB9" s="1138" t="s">
        <v>26</v>
      </c>
      <c r="AC9" s="1138">
        <f>SUMIF(AJ6:AJ25,"대국",F6:F25)+SUMIF(AJ6:AJ25,"대공",F6:F25)</f>
        <v>0</v>
      </c>
      <c r="AD9" s="1139">
        <f>SUMIF(AK6:AK25,"대국",K6:K25)+SUMIF(AK6:AK25,"대공",K6:K25)</f>
        <v>0</v>
      </c>
      <c r="AE9" s="1138">
        <f t="shared" si="0"/>
        <v>0</v>
      </c>
      <c r="AF9" s="1139">
        <f t="shared" si="0"/>
        <v>0</v>
      </c>
      <c r="AG9" s="1138" t="s">
        <v>26</v>
      </c>
      <c r="AH9" s="1138">
        <f t="shared" si="1"/>
        <v>0</v>
      </c>
      <c r="AI9" s="1139">
        <f t="shared" si="1"/>
        <v>0</v>
      </c>
      <c r="AJ9" s="1138" t="str">
        <f t="shared" si="2"/>
        <v>임유석현외 1인</v>
      </c>
      <c r="AK9" s="1138" t="str">
        <f t="shared" si="3"/>
        <v>임공</v>
      </c>
      <c r="AL9" s="66"/>
      <c r="AM9" s="66"/>
    </row>
    <row r="10" spans="1:39" s="67" customFormat="1" ht="24" customHeight="1" x14ac:dyDescent="0.15">
      <c r="A10" s="160">
        <v>5</v>
      </c>
      <c r="B10" s="222" t="s">
        <v>231</v>
      </c>
      <c r="C10" s="1016" t="s">
        <v>426</v>
      </c>
      <c r="D10" s="1016" t="s">
        <v>298</v>
      </c>
      <c r="E10" s="1033">
        <v>576</v>
      </c>
      <c r="F10" s="1033">
        <v>576</v>
      </c>
      <c r="G10" s="1025"/>
      <c r="H10" s="1025" t="s">
        <v>426</v>
      </c>
      <c r="I10" s="1025" t="s">
        <v>298</v>
      </c>
      <c r="J10" s="1036">
        <v>576</v>
      </c>
      <c r="K10" s="1036">
        <v>576</v>
      </c>
      <c r="L10" s="1016" t="s">
        <v>440</v>
      </c>
      <c r="M10" s="1016" t="s">
        <v>441</v>
      </c>
      <c r="N10" s="1025" t="s">
        <v>660</v>
      </c>
      <c r="O10" s="1025" t="s">
        <v>669</v>
      </c>
      <c r="P10" s="203"/>
      <c r="Q10" s="203"/>
      <c r="R10" s="203"/>
      <c r="S10" s="342"/>
      <c r="T10" s="1138" t="s">
        <v>31</v>
      </c>
      <c r="U10" s="1138">
        <f>COUNTIF(D6:D25,"도")</f>
        <v>1</v>
      </c>
      <c r="V10" s="1139">
        <f>COUNTIF(I6:I25,"도")</f>
        <v>1</v>
      </c>
      <c r="W10" s="1138" t="s">
        <v>26</v>
      </c>
      <c r="X10" s="1138">
        <f>SUMIF(D6:D25,"도",F6:F25)</f>
        <v>216</v>
      </c>
      <c r="Y10" s="1139">
        <f>SUMIF(I6:I25,"도",K6:K25)</f>
        <v>216</v>
      </c>
      <c r="Z10" s="1138">
        <f>COUNTIF(AJ6:AJ25,"도국")+COUNTIF(AJ6:AJ25,"도공")</f>
        <v>0</v>
      </c>
      <c r="AA10" s="1139">
        <f>COUNTIF(AK6:AK25,"도국")+COUNTIF(AK6:AK25,"도공")</f>
        <v>1</v>
      </c>
      <c r="AB10" s="1138" t="s">
        <v>26</v>
      </c>
      <c r="AC10" s="1138">
        <f>SUMIF(AJ6:AJ25,"도국",F6:F25)+SUMIF(AJ6:AJ25,"도공",F6:F25)</f>
        <v>0</v>
      </c>
      <c r="AD10" s="1139">
        <f>SUMIF(AK6:AK25,"도국",K6:K25)+SUMIF(AK6:AK25,"도공",K6:K25)</f>
        <v>216</v>
      </c>
      <c r="AE10" s="1138">
        <f t="shared" si="0"/>
        <v>1</v>
      </c>
      <c r="AF10" s="1139">
        <f t="shared" si="0"/>
        <v>0</v>
      </c>
      <c r="AG10" s="1138" t="s">
        <v>26</v>
      </c>
      <c r="AH10" s="1138">
        <f t="shared" si="1"/>
        <v>216</v>
      </c>
      <c r="AI10" s="1139">
        <f t="shared" si="1"/>
        <v>0</v>
      </c>
      <c r="AJ10" s="1138" t="str">
        <f t="shared" si="2"/>
        <v>임박상훈</v>
      </c>
      <c r="AK10" s="1138" t="str">
        <f t="shared" si="3"/>
        <v>임공</v>
      </c>
      <c r="AL10" s="66"/>
      <c r="AM10" s="66"/>
    </row>
    <row r="11" spans="1:39" s="67" customFormat="1" ht="24" customHeight="1" x14ac:dyDescent="0.15">
      <c r="A11" s="160">
        <v>6</v>
      </c>
      <c r="B11" s="222" t="s">
        <v>231</v>
      </c>
      <c r="C11" s="1016" t="s">
        <v>427</v>
      </c>
      <c r="D11" s="1016" t="s">
        <v>298</v>
      </c>
      <c r="E11" s="1033">
        <v>65</v>
      </c>
      <c r="F11" s="1033">
        <v>65</v>
      </c>
      <c r="G11" s="1025"/>
      <c r="H11" s="1025" t="s">
        <v>427</v>
      </c>
      <c r="I11" s="1025" t="s">
        <v>298</v>
      </c>
      <c r="J11" s="1036">
        <v>65</v>
      </c>
      <c r="K11" s="1036">
        <v>65</v>
      </c>
      <c r="L11" s="1016" t="s">
        <v>440</v>
      </c>
      <c r="M11" s="1016" t="s">
        <v>441</v>
      </c>
      <c r="N11" s="1025" t="s">
        <v>661</v>
      </c>
      <c r="O11" s="1025" t="s">
        <v>670</v>
      </c>
      <c r="P11" s="203"/>
      <c r="Q11" s="203"/>
      <c r="R11" s="203"/>
      <c r="S11" s="342"/>
      <c r="T11" s="1138" t="s">
        <v>32</v>
      </c>
      <c r="U11" s="1140">
        <f>COUNTIF(D6:D25,"천")</f>
        <v>0</v>
      </c>
      <c r="V11" s="1141">
        <f>COUNTIF(I6:I25,"천")</f>
        <v>0</v>
      </c>
      <c r="W11" s="1138" t="s">
        <v>26</v>
      </c>
      <c r="X11" s="1138">
        <f>SUMIF(D6:D25,"천",F6:F25)</f>
        <v>0</v>
      </c>
      <c r="Y11" s="1139">
        <f>SUMIF(I6:I25,"천",K6:K25)</f>
        <v>0</v>
      </c>
      <c r="Z11" s="1138">
        <f>COUNTIF(AJ6:AJ25,"천국")+COUNTIF(AJ6:AJ25,"천공")</f>
        <v>0</v>
      </c>
      <c r="AA11" s="1139">
        <f>COUNTIF(AK6:AK25,"천국")+COUNTIF(AK6:AK25,"천공")</f>
        <v>0</v>
      </c>
      <c r="AB11" s="1138" t="s">
        <v>26</v>
      </c>
      <c r="AC11" s="1138">
        <f>SUMIF(AJ6:AJ25,"천국",F6:F25)+SUMIF(AJ6:AJ25,"천공",F6:F25)</f>
        <v>0</v>
      </c>
      <c r="AD11" s="1139">
        <f>SUMIF(AK6:AK25,"천국",K6:K25)+SUMIF(AK6:AK25,"천공",K6:K25)</f>
        <v>0</v>
      </c>
      <c r="AE11" s="1138">
        <f t="shared" si="0"/>
        <v>0</v>
      </c>
      <c r="AF11" s="1139">
        <f t="shared" si="0"/>
        <v>0</v>
      </c>
      <c r="AG11" s="1138" t="s">
        <v>26</v>
      </c>
      <c r="AH11" s="1138">
        <f t="shared" si="1"/>
        <v>0</v>
      </c>
      <c r="AI11" s="1139">
        <f t="shared" si="1"/>
        <v>0</v>
      </c>
      <c r="AJ11" s="1138" t="str">
        <f t="shared" si="2"/>
        <v>임박상훈</v>
      </c>
      <c r="AK11" s="1138" t="str">
        <f t="shared" si="3"/>
        <v>임공</v>
      </c>
      <c r="AL11" s="66"/>
      <c r="AM11" s="66"/>
    </row>
    <row r="12" spans="1:39" s="67" customFormat="1" ht="24" customHeight="1" x14ac:dyDescent="0.15">
      <c r="A12" s="160">
        <v>7</v>
      </c>
      <c r="B12" s="222" t="s">
        <v>231</v>
      </c>
      <c r="C12" s="1016" t="s">
        <v>428</v>
      </c>
      <c r="D12" s="1016" t="s">
        <v>298</v>
      </c>
      <c r="E12" s="1033">
        <v>1817</v>
      </c>
      <c r="F12" s="1033">
        <v>1817</v>
      </c>
      <c r="G12" s="1025"/>
      <c r="H12" s="1025" t="s">
        <v>428</v>
      </c>
      <c r="I12" s="1025" t="s">
        <v>298</v>
      </c>
      <c r="J12" s="1036">
        <v>1817</v>
      </c>
      <c r="K12" s="1036">
        <v>1817</v>
      </c>
      <c r="L12" s="1016" t="s">
        <v>443</v>
      </c>
      <c r="M12" s="1016" t="s">
        <v>456</v>
      </c>
      <c r="N12" s="1025" t="s">
        <v>661</v>
      </c>
      <c r="O12" s="1025" t="s">
        <v>670</v>
      </c>
      <c r="P12" s="203"/>
      <c r="Q12" s="203"/>
      <c r="R12" s="203"/>
      <c r="S12" s="342"/>
      <c r="T12" s="1138" t="s">
        <v>33</v>
      </c>
      <c r="U12" s="1138">
        <f>COUNTIF(D6:D25,"구")</f>
        <v>0</v>
      </c>
      <c r="V12" s="1139">
        <f>COUNTIF(I6:I25,"구")</f>
        <v>0</v>
      </c>
      <c r="W12" s="1138" t="s">
        <v>26</v>
      </c>
      <c r="X12" s="1138">
        <f>SUMIF(D6:D25,"구",F6:F25)</f>
        <v>0</v>
      </c>
      <c r="Y12" s="1139">
        <f>SUMIF(I6:I25,"구",K6:K25)</f>
        <v>0</v>
      </c>
      <c r="Z12" s="1138">
        <f>COUNTIF(AJ6:AJ25,"구국")+COUNTIF(AJ6:AJ25,"구공")</f>
        <v>0</v>
      </c>
      <c r="AA12" s="1139">
        <f>COUNTIF(AK6:AK25,"구국")+COUNTIF(AK6:AK25,"구공")</f>
        <v>0</v>
      </c>
      <c r="AB12" s="1138" t="s">
        <v>26</v>
      </c>
      <c r="AC12" s="1138">
        <f>SUMIF(AJ6:AJ25,"구국",F6:F25)+SUMIF(AJ6:AJ25,"구공",F6:F25)</f>
        <v>0</v>
      </c>
      <c r="AD12" s="1139">
        <f>SUMIF(AK6:AK25,"구국",K6:K25)+SUMIF(AK6:AK25,"구공",K6:K25)</f>
        <v>0</v>
      </c>
      <c r="AE12" s="1138">
        <f t="shared" si="0"/>
        <v>0</v>
      </c>
      <c r="AF12" s="1139">
        <f t="shared" si="0"/>
        <v>0</v>
      </c>
      <c r="AG12" s="1138" t="s">
        <v>26</v>
      </c>
      <c r="AH12" s="1138">
        <f t="shared" si="1"/>
        <v>0</v>
      </c>
      <c r="AI12" s="1139">
        <f t="shared" si="1"/>
        <v>0</v>
      </c>
      <c r="AJ12" s="1138" t="str">
        <f t="shared" si="2"/>
        <v>임김옥자외 2인</v>
      </c>
      <c r="AK12" s="1138" t="str">
        <f t="shared" si="3"/>
        <v>임공</v>
      </c>
      <c r="AL12" s="66"/>
      <c r="AM12" s="66"/>
    </row>
    <row r="13" spans="1:39" s="67" customFormat="1" ht="24" customHeight="1" x14ac:dyDescent="0.15">
      <c r="A13" s="160">
        <v>8</v>
      </c>
      <c r="B13" s="222" t="s">
        <v>231</v>
      </c>
      <c r="C13" s="1016" t="s">
        <v>429</v>
      </c>
      <c r="D13" s="1016" t="s">
        <v>27</v>
      </c>
      <c r="E13" s="1033">
        <v>520</v>
      </c>
      <c r="F13" s="1033">
        <v>520</v>
      </c>
      <c r="G13" s="1025"/>
      <c r="H13" s="1025" t="s">
        <v>429</v>
      </c>
      <c r="I13" s="1025" t="s">
        <v>27</v>
      </c>
      <c r="J13" s="1036">
        <v>520</v>
      </c>
      <c r="K13" s="1036">
        <v>520</v>
      </c>
      <c r="L13" s="1016" t="s">
        <v>444</v>
      </c>
      <c r="M13" s="1016" t="s">
        <v>457</v>
      </c>
      <c r="N13" s="1025" t="s">
        <v>660</v>
      </c>
      <c r="O13" s="1025" t="s">
        <v>670</v>
      </c>
      <c r="P13" s="203"/>
      <c r="Q13" s="203"/>
      <c r="R13" s="203"/>
      <c r="S13" s="342"/>
      <c r="T13" s="1138" t="s">
        <v>34</v>
      </c>
      <c r="U13" s="1138">
        <f>COUNTIF(D6:D25,"제")</f>
        <v>0</v>
      </c>
      <c r="V13" s="1139">
        <f>COUNTIF(I6:I25,"제")</f>
        <v>0</v>
      </c>
      <c r="W13" s="1138" t="s">
        <v>26</v>
      </c>
      <c r="X13" s="1138">
        <f>SUMIF(D6:D25,"제",F6:F25)</f>
        <v>0</v>
      </c>
      <c r="Y13" s="1139">
        <f>SUMIF(I6:I25,"제",K6:K25)</f>
        <v>0</v>
      </c>
      <c r="Z13" s="1138">
        <f>COUNTIF(AJ6:AJ25,"제국")+COUNTIF(AJ6:AJ25,"제공")</f>
        <v>0</v>
      </c>
      <c r="AA13" s="1139">
        <f>COUNTIF(AK6:AK25,"제국")+COUNTIF(AK6:AK25,"제공")</f>
        <v>0</v>
      </c>
      <c r="AB13" s="1138" t="s">
        <v>26</v>
      </c>
      <c r="AC13" s="1138">
        <f>SUMIF(AJ6:AJ25,"제국",F6:F25)+SUMIF(AJ6:AJ25,"제공",F6:F25)</f>
        <v>0</v>
      </c>
      <c r="AD13" s="1139">
        <f>SUMIF(AK6:AK25,"제국",K6:K25)+SUMIF(AK6:AK25,"제공",K6:K25)</f>
        <v>0</v>
      </c>
      <c r="AE13" s="1138">
        <f t="shared" si="0"/>
        <v>0</v>
      </c>
      <c r="AF13" s="1139">
        <f t="shared" si="0"/>
        <v>0</v>
      </c>
      <c r="AG13" s="1138" t="s">
        <v>26</v>
      </c>
      <c r="AH13" s="1138">
        <f t="shared" si="1"/>
        <v>0</v>
      </c>
      <c r="AI13" s="1139">
        <f t="shared" si="1"/>
        <v>0</v>
      </c>
      <c r="AJ13" s="1138" t="str">
        <f t="shared" si="2"/>
        <v>전진성숙</v>
      </c>
      <c r="AK13" s="1138" t="str">
        <f t="shared" si="3"/>
        <v>전공</v>
      </c>
      <c r="AL13" s="66"/>
      <c r="AM13" s="66"/>
    </row>
    <row r="14" spans="1:39" s="67" customFormat="1" ht="24" customHeight="1" x14ac:dyDescent="0.15">
      <c r="A14" s="160">
        <v>9</v>
      </c>
      <c r="B14" s="222" t="s">
        <v>231</v>
      </c>
      <c r="C14" s="1016" t="s">
        <v>430</v>
      </c>
      <c r="D14" s="1016" t="s">
        <v>298</v>
      </c>
      <c r="E14" s="1033">
        <v>4740</v>
      </c>
      <c r="F14" s="1033">
        <v>4740</v>
      </c>
      <c r="G14" s="1025"/>
      <c r="H14" s="1025" t="s">
        <v>430</v>
      </c>
      <c r="I14" s="1025" t="s">
        <v>298</v>
      </c>
      <c r="J14" s="1036">
        <v>4740</v>
      </c>
      <c r="K14" s="1036">
        <v>4740</v>
      </c>
      <c r="L14" s="1016" t="s">
        <v>445</v>
      </c>
      <c r="M14" s="1016" t="s">
        <v>446</v>
      </c>
      <c r="N14" s="1025" t="s">
        <v>660</v>
      </c>
      <c r="O14" s="1025" t="s">
        <v>669</v>
      </c>
      <c r="P14" s="203"/>
      <c r="Q14" s="203"/>
      <c r="R14" s="203"/>
      <c r="S14" s="342"/>
      <c r="T14" s="1138" t="s">
        <v>46</v>
      </c>
      <c r="U14" s="1138">
        <f>COUNTIF(D6:D25,"유")</f>
        <v>0</v>
      </c>
      <c r="V14" s="1139">
        <f>COUNTIF(I6:I25,"유")</f>
        <v>0</v>
      </c>
      <c r="W14" s="1138" t="s">
        <v>26</v>
      </c>
      <c r="X14" s="1138">
        <f>SUMIF(D6:D25,"유",F6:F25)</f>
        <v>0</v>
      </c>
      <c r="Y14" s="1139">
        <f>SUMIF(I6:I25,"유",K6:K25)</f>
        <v>0</v>
      </c>
      <c r="Z14" s="1138">
        <f>COUNTIF(AJ6:AJ25,"유국")+COUNTIF(AJ6:AJ25,"유공")</f>
        <v>0</v>
      </c>
      <c r="AA14" s="1139">
        <f>COUNTIF(AK6:AK25,"유국")+COUNTIF(AK6:AK25,"유공")</f>
        <v>0</v>
      </c>
      <c r="AB14" s="1138" t="s">
        <v>26</v>
      </c>
      <c r="AC14" s="1138">
        <f>SUMIF(AJ6:AJ25,"유국",F6:F25)+SUMIF(AJ6:AJ25,"유공",F6:F25)</f>
        <v>0</v>
      </c>
      <c r="AD14" s="1139">
        <f>SUMIF(AK6:AK25,"유국",K6:K25)+SUMIF(AK6:AK25,"유공",K6:K25)</f>
        <v>0</v>
      </c>
      <c r="AE14" s="1138">
        <f t="shared" si="0"/>
        <v>0</v>
      </c>
      <c r="AF14" s="1139">
        <f t="shared" si="0"/>
        <v>0</v>
      </c>
      <c r="AG14" s="1138" t="s">
        <v>26</v>
      </c>
      <c r="AH14" s="1138">
        <f t="shared" si="1"/>
        <v>0</v>
      </c>
      <c r="AI14" s="1139">
        <f t="shared" si="1"/>
        <v>0</v>
      </c>
      <c r="AJ14" s="1138" t="str">
        <f t="shared" si="2"/>
        <v>임배순조</v>
      </c>
      <c r="AK14" s="1138" t="str">
        <f t="shared" si="3"/>
        <v>임공</v>
      </c>
      <c r="AL14" s="66"/>
      <c r="AM14" s="66"/>
    </row>
    <row r="15" spans="1:39" s="67" customFormat="1" ht="24" customHeight="1" x14ac:dyDescent="0.15">
      <c r="A15" s="160">
        <v>10</v>
      </c>
      <c r="B15" s="222" t="s">
        <v>231</v>
      </c>
      <c r="C15" s="1016" t="s">
        <v>431</v>
      </c>
      <c r="D15" s="1016" t="s">
        <v>298</v>
      </c>
      <c r="E15" s="1033">
        <v>19</v>
      </c>
      <c r="F15" s="1033">
        <v>19</v>
      </c>
      <c r="G15" s="1025"/>
      <c r="H15" s="1025" t="s">
        <v>431</v>
      </c>
      <c r="I15" s="1025" t="s">
        <v>298</v>
      </c>
      <c r="J15" s="1036">
        <v>19</v>
      </c>
      <c r="K15" s="1036">
        <v>19</v>
      </c>
      <c r="L15" s="1016" t="s">
        <v>445</v>
      </c>
      <c r="M15" s="1016" t="s">
        <v>446</v>
      </c>
      <c r="N15" s="1025" t="s">
        <v>661</v>
      </c>
      <c r="O15" s="1025" t="s">
        <v>669</v>
      </c>
      <c r="P15" s="203"/>
      <c r="Q15" s="203"/>
      <c r="R15" s="203"/>
      <c r="S15" s="342"/>
      <c r="T15" s="1138" t="s">
        <v>47</v>
      </c>
      <c r="U15" s="1138">
        <f>COUNTIF(D6:D25,"과")</f>
        <v>0</v>
      </c>
      <c r="V15" s="1139">
        <f>COUNTIF(I6:I25,"과")</f>
        <v>0</v>
      </c>
      <c r="W15" s="1138" t="s">
        <v>26</v>
      </c>
      <c r="X15" s="1138">
        <f>SUMIF(D6:D25,"과",F6:F25)</f>
        <v>0</v>
      </c>
      <c r="Y15" s="1139">
        <f>SUMIF(I6:I25,"과",K6:K25)</f>
        <v>0</v>
      </c>
      <c r="Z15" s="1138">
        <f>COUNTIF(AJ6:AJ25,"과국")+COUNTIF(AJ6:AJ25,"과공")</f>
        <v>0</v>
      </c>
      <c r="AA15" s="1139">
        <f>COUNTIF(AK6:AK25,"과국")+COUNTIF(AK6:AK25,"과공")</f>
        <v>0</v>
      </c>
      <c r="AB15" s="1138" t="s">
        <v>26</v>
      </c>
      <c r="AC15" s="1138">
        <f>SUMIF(AJ6:AJ25,"과국",F6:F25)+SUMIF(AJ6:AJ25,"과공",F6:F25)</f>
        <v>0</v>
      </c>
      <c r="AD15" s="1139">
        <f>SUMIF(AK6:AK25,"과국",K6:K25)+SUMIF(AK6:AK25,"과공",K6:K25)</f>
        <v>0</v>
      </c>
      <c r="AE15" s="1138">
        <f t="shared" si="0"/>
        <v>0</v>
      </c>
      <c r="AF15" s="1139">
        <f t="shared" si="0"/>
        <v>0</v>
      </c>
      <c r="AG15" s="1138" t="s">
        <v>26</v>
      </c>
      <c r="AH15" s="1138">
        <f t="shared" si="1"/>
        <v>0</v>
      </c>
      <c r="AI15" s="1139">
        <f t="shared" si="1"/>
        <v>0</v>
      </c>
      <c r="AJ15" s="1138" t="str">
        <f t="shared" si="2"/>
        <v>임배순조</v>
      </c>
      <c r="AK15" s="1138" t="str">
        <f t="shared" si="3"/>
        <v>임공</v>
      </c>
      <c r="AL15" s="66"/>
      <c r="AM15" s="66"/>
    </row>
    <row r="16" spans="1:39" s="67" customFormat="1" ht="24" customHeight="1" x14ac:dyDescent="0.15">
      <c r="A16" s="160">
        <v>11</v>
      </c>
      <c r="B16" s="222" t="s">
        <v>231</v>
      </c>
      <c r="C16" s="1016" t="s">
        <v>432</v>
      </c>
      <c r="D16" s="1016" t="s">
        <v>298</v>
      </c>
      <c r="E16" s="1033">
        <v>4</v>
      </c>
      <c r="F16" s="1033">
        <v>4</v>
      </c>
      <c r="G16" s="1025"/>
      <c r="H16" s="1025" t="s">
        <v>432</v>
      </c>
      <c r="I16" s="1025" t="s">
        <v>298</v>
      </c>
      <c r="J16" s="1036">
        <v>4</v>
      </c>
      <c r="K16" s="1036">
        <v>4</v>
      </c>
      <c r="L16" s="1016" t="s">
        <v>447</v>
      </c>
      <c r="M16" s="1016" t="s">
        <v>448</v>
      </c>
      <c r="N16" s="1025" t="s">
        <v>661</v>
      </c>
      <c r="O16" s="1025" t="s">
        <v>670</v>
      </c>
      <c r="P16" s="203"/>
      <c r="Q16" s="203"/>
      <c r="R16" s="203"/>
      <c r="S16" s="342"/>
      <c r="T16" s="1138" t="s">
        <v>36</v>
      </c>
      <c r="U16" s="1138">
        <f>COUNTIF(D6:D25,"묘")</f>
        <v>0</v>
      </c>
      <c r="V16" s="1139">
        <f>COUNTIF(I6:I25,"묘")</f>
        <v>0</v>
      </c>
      <c r="W16" s="1138" t="s">
        <v>26</v>
      </c>
      <c r="X16" s="1138">
        <f>SUMIF(D6:D25,"묘",F6:F25)</f>
        <v>0</v>
      </c>
      <c r="Y16" s="1139">
        <f>SUMIF(I6:I25,"묘",K6:K25)</f>
        <v>0</v>
      </c>
      <c r="Z16" s="1138">
        <f>COUNTIF(AJ6:AJ25,"묘국")+COUNTIF(AJ6:AJ25,"묘공")</f>
        <v>0</v>
      </c>
      <c r="AA16" s="1139">
        <f>COUNTIF(AK6:AK25,"묘국")+COUNTIF(AK6:AK25,"묘공")</f>
        <v>0</v>
      </c>
      <c r="AB16" s="1138" t="s">
        <v>26</v>
      </c>
      <c r="AC16" s="1138">
        <f>SUMIF(AJ6:AJ25,"묘국",F6:F25)+SUMIF(AJ6:AJ25,"묘공",F6:F25)</f>
        <v>0</v>
      </c>
      <c r="AD16" s="1139">
        <f>SUMIF(AK6:AK25,"묘국",K6:K25)+SUMIF(AK6:AK25,"묘공",K6:K25)</f>
        <v>0</v>
      </c>
      <c r="AE16" s="1138">
        <f t="shared" si="0"/>
        <v>0</v>
      </c>
      <c r="AF16" s="1139">
        <f t="shared" si="0"/>
        <v>0</v>
      </c>
      <c r="AG16" s="1138" t="s">
        <v>26</v>
      </c>
      <c r="AH16" s="1138">
        <f t="shared" si="1"/>
        <v>0</v>
      </c>
      <c r="AI16" s="1139">
        <f t="shared" si="1"/>
        <v>0</v>
      </c>
      <c r="AJ16" s="1138" t="str">
        <f t="shared" si="2"/>
        <v>임김경희</v>
      </c>
      <c r="AK16" s="1138" t="str">
        <f t="shared" si="3"/>
        <v>임공</v>
      </c>
      <c r="AL16" s="66"/>
      <c r="AM16" s="66"/>
    </row>
    <row r="17" spans="1:39" s="67" customFormat="1" ht="24" customHeight="1" x14ac:dyDescent="0.15">
      <c r="A17" s="160">
        <v>12</v>
      </c>
      <c r="B17" s="222" t="s">
        <v>231</v>
      </c>
      <c r="C17" s="1016" t="s">
        <v>433</v>
      </c>
      <c r="D17" s="1016" t="s">
        <v>298</v>
      </c>
      <c r="E17" s="1033">
        <v>126</v>
      </c>
      <c r="F17" s="1033">
        <v>126</v>
      </c>
      <c r="G17" s="1025"/>
      <c r="H17" s="1025" t="s">
        <v>433</v>
      </c>
      <c r="I17" s="1025" t="s">
        <v>298</v>
      </c>
      <c r="J17" s="1036">
        <v>126</v>
      </c>
      <c r="K17" s="1036">
        <v>126</v>
      </c>
      <c r="L17" s="1016" t="s">
        <v>447</v>
      </c>
      <c r="M17" s="1016" t="s">
        <v>448</v>
      </c>
      <c r="N17" s="1025" t="s">
        <v>661</v>
      </c>
      <c r="O17" s="1025" t="s">
        <v>670</v>
      </c>
      <c r="P17" s="203"/>
      <c r="Q17" s="203"/>
      <c r="R17" s="203"/>
      <c r="S17" s="342"/>
      <c r="T17" s="1138" t="s">
        <v>39</v>
      </c>
      <c r="U17" s="1138">
        <f>COUNTIF(D6:D25,"수")</f>
        <v>0</v>
      </c>
      <c r="V17" s="1139">
        <f>COUNTIF(I6:I25,"수")</f>
        <v>0</v>
      </c>
      <c r="W17" s="1138" t="s">
        <v>26</v>
      </c>
      <c r="X17" s="1138">
        <f>SUMIF(D6:D25,"수",F6:F25)</f>
        <v>0</v>
      </c>
      <c r="Y17" s="1139">
        <f>SUMIF(I6:I25,"수",K6:K25)</f>
        <v>0</v>
      </c>
      <c r="Z17" s="1138">
        <f>COUNTIF(AJ6:AJ25,"수국")+COUNTIF(AJ6:AJ25,"수공")</f>
        <v>0</v>
      </c>
      <c r="AA17" s="1139">
        <f>COUNTIF(AK6:AK25,"수국")+COUNTIF(AK6:AK25,"수공")</f>
        <v>0</v>
      </c>
      <c r="AB17" s="1138" t="s">
        <v>26</v>
      </c>
      <c r="AC17" s="1138">
        <f>SUMIF(AJ6:AJ25,"수국",F6:F25)+SUMIF(AJ6:AJ25,"수공",F6:F25)</f>
        <v>0</v>
      </c>
      <c r="AD17" s="1139">
        <f>SUMIF(AK6:AK25,"수국",K6:K25)+SUMIF(AK6:AK25,"수공",K6:K25)</f>
        <v>0</v>
      </c>
      <c r="AE17" s="1138">
        <f t="shared" si="0"/>
        <v>0</v>
      </c>
      <c r="AF17" s="1139">
        <f t="shared" si="0"/>
        <v>0</v>
      </c>
      <c r="AG17" s="1138" t="s">
        <v>26</v>
      </c>
      <c r="AH17" s="1138">
        <f t="shared" si="1"/>
        <v>0</v>
      </c>
      <c r="AI17" s="1139">
        <f t="shared" si="1"/>
        <v>0</v>
      </c>
      <c r="AJ17" s="1138" t="str">
        <f t="shared" si="2"/>
        <v>임김경희</v>
      </c>
      <c r="AK17" s="1138" t="str">
        <f t="shared" si="3"/>
        <v>임공</v>
      </c>
      <c r="AL17" s="66"/>
      <c r="AM17" s="66"/>
    </row>
    <row r="18" spans="1:39" s="67" customFormat="1" ht="24" customHeight="1" x14ac:dyDescent="0.15">
      <c r="A18" s="160">
        <v>13</v>
      </c>
      <c r="B18" s="222" t="s">
        <v>231</v>
      </c>
      <c r="C18" s="1016" t="s">
        <v>434</v>
      </c>
      <c r="D18" s="1016" t="s">
        <v>298</v>
      </c>
      <c r="E18" s="1033">
        <v>152</v>
      </c>
      <c r="F18" s="1033">
        <v>152</v>
      </c>
      <c r="G18" s="1025"/>
      <c r="H18" s="1025" t="s">
        <v>434</v>
      </c>
      <c r="I18" s="1025" t="s">
        <v>298</v>
      </c>
      <c r="J18" s="1036">
        <v>152</v>
      </c>
      <c r="K18" s="1036">
        <v>152</v>
      </c>
      <c r="L18" s="1016" t="s">
        <v>447</v>
      </c>
      <c r="M18" s="1016" t="s">
        <v>448</v>
      </c>
      <c r="N18" s="1025" t="s">
        <v>660</v>
      </c>
      <c r="O18" s="1025" t="s">
        <v>669</v>
      </c>
      <c r="P18" s="203"/>
      <c r="Q18" s="203"/>
      <c r="R18" s="203"/>
      <c r="S18" s="342"/>
      <c r="T18" s="1138" t="s">
        <v>35</v>
      </c>
      <c r="U18" s="1138">
        <f>COUNTIF(D6:D25,"잡")</f>
        <v>0</v>
      </c>
      <c r="V18" s="1139">
        <f>COUNTIF(I6:I25,"잡")</f>
        <v>0</v>
      </c>
      <c r="W18" s="1138" t="s">
        <v>26</v>
      </c>
      <c r="X18" s="1138">
        <f>SUMIF(D6:D25,"잡",F6:F25)</f>
        <v>0</v>
      </c>
      <c r="Y18" s="1139">
        <f>SUMIF(I6:I25,"잡",K6:K25)</f>
        <v>0</v>
      </c>
      <c r="Z18" s="1138">
        <f>COUNTIF(AJ6:AJ25,"잡국")+COUNTIF(AJ6:AJ25,"잡공")</f>
        <v>0</v>
      </c>
      <c r="AA18" s="1139">
        <f>COUNTIF(AK6:AK25,"잡국")+COUNTIF(AK6:AK25,"잡공")</f>
        <v>0</v>
      </c>
      <c r="AB18" s="1138" t="s">
        <v>26</v>
      </c>
      <c r="AC18" s="1138">
        <f>SUMIF(AJ6:AJ25,"잡국",F6:F25)+SUMIF(AJ6:AJ25,"잡공",F6:F25)</f>
        <v>0</v>
      </c>
      <c r="AD18" s="1139">
        <f>SUMIF(AK6:AK25,"잡국",K6:K25)+SUMIF(AK6:AK25,"잡공",K6:K25)</f>
        <v>0</v>
      </c>
      <c r="AE18" s="1138">
        <f t="shared" si="0"/>
        <v>0</v>
      </c>
      <c r="AF18" s="1139">
        <f t="shared" si="0"/>
        <v>0</v>
      </c>
      <c r="AG18" s="1138" t="s">
        <v>26</v>
      </c>
      <c r="AH18" s="1138">
        <f t="shared" si="1"/>
        <v>0</v>
      </c>
      <c r="AI18" s="1139">
        <f t="shared" si="1"/>
        <v>0</v>
      </c>
      <c r="AJ18" s="1138" t="str">
        <f t="shared" si="2"/>
        <v>임김경희</v>
      </c>
      <c r="AK18" s="1138" t="str">
        <f t="shared" si="3"/>
        <v>임공</v>
      </c>
      <c r="AL18" s="66"/>
      <c r="AM18" s="66"/>
    </row>
    <row r="19" spans="1:39" s="67" customFormat="1" ht="24" customHeight="1" x14ac:dyDescent="0.15">
      <c r="A19" s="160">
        <v>14</v>
      </c>
      <c r="B19" s="222" t="s">
        <v>231</v>
      </c>
      <c r="C19" s="1016" t="s">
        <v>435</v>
      </c>
      <c r="D19" s="1016" t="s">
        <v>298</v>
      </c>
      <c r="E19" s="1033">
        <v>3245</v>
      </c>
      <c r="F19" s="1033">
        <v>3245</v>
      </c>
      <c r="G19" s="1025"/>
      <c r="H19" s="1025" t="s">
        <v>435</v>
      </c>
      <c r="I19" s="1025" t="s">
        <v>298</v>
      </c>
      <c r="J19" s="1036">
        <v>3245</v>
      </c>
      <c r="K19" s="1036">
        <v>3245</v>
      </c>
      <c r="L19" s="1016" t="s">
        <v>449</v>
      </c>
      <c r="M19" s="1016" t="s">
        <v>450</v>
      </c>
      <c r="N19" s="1025" t="s">
        <v>664</v>
      </c>
      <c r="O19" s="1025" t="s">
        <v>669</v>
      </c>
      <c r="P19" s="203"/>
      <c r="Q19" s="203"/>
      <c r="R19" s="203"/>
      <c r="S19" s="342"/>
      <c r="T19" s="1138" t="s">
        <v>220</v>
      </c>
      <c r="U19" s="1138">
        <f>COUNTIF(D6:D25,"창")</f>
        <v>0</v>
      </c>
      <c r="V19" s="1139">
        <f>COUNTIF(I6:I25,"창")</f>
        <v>0</v>
      </c>
      <c r="W19" s="1138" t="s">
        <v>26</v>
      </c>
      <c r="X19" s="1138">
        <f>SUMIF(D6:D25,"창",F6:F25)</f>
        <v>0</v>
      </c>
      <c r="Y19" s="1139">
        <f>SUMIF(I6:I25,"창",K6:K25)</f>
        <v>0</v>
      </c>
      <c r="Z19" s="1138">
        <f>COUNTIF(AJ6:AJ25,"창국")+COUNTIF(AJ6:AJ25,"창공")</f>
        <v>0</v>
      </c>
      <c r="AA19" s="1139">
        <f>COUNTIF(AK6:AK25,"창국")+COUNTIF(AK6:AK25,"창공")</f>
        <v>0</v>
      </c>
      <c r="AB19" s="1138" t="s">
        <v>26</v>
      </c>
      <c r="AC19" s="1138">
        <f>SUMIF(AJ6:AJ25,"칭국",F6:F25)+SUMIF(AJ6:AJ25,"창공",F6:F25)</f>
        <v>0</v>
      </c>
      <c r="AD19" s="1139">
        <f>SUMIF(AK6:AK25,"창국",K6:K25)+SUMIF(AK6:AK25,"창공",K6:K25)</f>
        <v>0</v>
      </c>
      <c r="AE19" s="1138">
        <f t="shared" si="0"/>
        <v>0</v>
      </c>
      <c r="AF19" s="1139">
        <f t="shared" si="0"/>
        <v>0</v>
      </c>
      <c r="AG19" s="1138" t="s">
        <v>26</v>
      </c>
      <c r="AH19" s="1138">
        <f t="shared" si="1"/>
        <v>0</v>
      </c>
      <c r="AI19" s="1139">
        <f t="shared" si="1"/>
        <v>0</v>
      </c>
      <c r="AJ19" s="1138" t="str">
        <f t="shared" si="2"/>
        <v>임이호영외 16인</v>
      </c>
      <c r="AK19" s="1138" t="str">
        <f t="shared" si="3"/>
        <v>임공</v>
      </c>
      <c r="AL19" s="66"/>
      <c r="AM19" s="66"/>
    </row>
    <row r="20" spans="1:39" s="67" customFormat="1" ht="24" customHeight="1" x14ac:dyDescent="0.15">
      <c r="A20" s="160">
        <v>15</v>
      </c>
      <c r="B20" s="222" t="s">
        <v>231</v>
      </c>
      <c r="C20" s="1016" t="s">
        <v>436</v>
      </c>
      <c r="D20" s="1016" t="s">
        <v>298</v>
      </c>
      <c r="E20" s="1033">
        <v>1317</v>
      </c>
      <c r="F20" s="1033">
        <v>1317</v>
      </c>
      <c r="G20" s="1025"/>
      <c r="H20" s="1025" t="s">
        <v>436</v>
      </c>
      <c r="I20" s="1025" t="s">
        <v>298</v>
      </c>
      <c r="J20" s="1036">
        <v>1317</v>
      </c>
      <c r="K20" s="1036">
        <v>1317</v>
      </c>
      <c r="L20" s="1016" t="s">
        <v>451</v>
      </c>
      <c r="M20" s="1024" t="s">
        <v>458</v>
      </c>
      <c r="N20" s="1025" t="s">
        <v>661</v>
      </c>
      <c r="O20" s="1025" t="s">
        <v>670</v>
      </c>
      <c r="P20" s="203"/>
      <c r="Q20" s="203"/>
      <c r="R20" s="203"/>
      <c r="S20" s="342"/>
      <c r="T20" s="1138" t="s">
        <v>50</v>
      </c>
      <c r="U20" s="1138">
        <f>COUNTIF(D6:D25,"공")</f>
        <v>0</v>
      </c>
      <c r="V20" s="1139">
        <f>COUNTIF(I6:I25,"공")</f>
        <v>0</v>
      </c>
      <c r="W20" s="1138" t="s">
        <v>26</v>
      </c>
      <c r="X20" s="1138">
        <f>SUMIF(D6:D25,"공",F6:F25)</f>
        <v>0</v>
      </c>
      <c r="Y20" s="1139">
        <f>SUMIF(I6:I25,"공",K6:K25)</f>
        <v>0</v>
      </c>
      <c r="Z20" s="1138">
        <f>COUNTIF(AJ6:AJ25,"공국")+COUNTIF(AJ6:AJ25,"공공")</f>
        <v>0</v>
      </c>
      <c r="AA20" s="1139">
        <f>COUNTIF(AK6:AK25,"공국")+COUNTIF(AK6:AK25,"공공")</f>
        <v>0</v>
      </c>
      <c r="AB20" s="1138" t="s">
        <v>26</v>
      </c>
      <c r="AC20" s="1138">
        <f>SUMIF(AJ6:AJ25,"공국",F6:F25)+SUMIF(AJ6:AJ25,"공공",F6:F25)</f>
        <v>0</v>
      </c>
      <c r="AD20" s="1139">
        <f>SUMIF(AK6:AK25,"공국",K6:K25)+SUMIF(AK6:AK25,"공공",K6:K25)</f>
        <v>0</v>
      </c>
      <c r="AE20" s="1138">
        <f t="shared" si="0"/>
        <v>0</v>
      </c>
      <c r="AF20" s="1139">
        <f t="shared" si="0"/>
        <v>0</v>
      </c>
      <c r="AG20" s="1138" t="s">
        <v>26</v>
      </c>
      <c r="AH20" s="1138">
        <f t="shared" si="1"/>
        <v>0</v>
      </c>
      <c r="AI20" s="1139">
        <f t="shared" si="1"/>
        <v>0</v>
      </c>
      <c r="AJ20" s="1138" t="str">
        <f t="shared" si="2"/>
        <v>임이승용</v>
      </c>
      <c r="AK20" s="1138" t="str">
        <f t="shared" si="3"/>
        <v>임공</v>
      </c>
      <c r="AL20" s="66"/>
      <c r="AM20" s="66"/>
    </row>
    <row r="21" spans="1:39" s="67" customFormat="1" ht="24" customHeight="1" x14ac:dyDescent="0.15">
      <c r="A21" s="160">
        <v>16</v>
      </c>
      <c r="B21" s="222" t="s">
        <v>231</v>
      </c>
      <c r="C21" s="1016" t="s">
        <v>437</v>
      </c>
      <c r="D21" s="1016" t="s">
        <v>27</v>
      </c>
      <c r="E21" s="1033">
        <v>607</v>
      </c>
      <c r="F21" s="1033">
        <v>607</v>
      </c>
      <c r="G21" s="1025"/>
      <c r="H21" s="1025" t="s">
        <v>437</v>
      </c>
      <c r="I21" s="1025" t="s">
        <v>27</v>
      </c>
      <c r="J21" s="1036">
        <v>607</v>
      </c>
      <c r="K21" s="1036">
        <v>607</v>
      </c>
      <c r="L21" s="1016" t="s">
        <v>444</v>
      </c>
      <c r="M21" s="1016" t="s">
        <v>457</v>
      </c>
      <c r="N21" s="1025" t="s">
        <v>661</v>
      </c>
      <c r="O21" s="1025" t="s">
        <v>670</v>
      </c>
      <c r="P21" s="203"/>
      <c r="Q21" s="203" t="s">
        <v>230</v>
      </c>
      <c r="R21" s="203"/>
      <c r="S21" s="342"/>
      <c r="T21" s="1142" t="s">
        <v>219</v>
      </c>
      <c r="U21" s="1138">
        <f>COUNTIF(D6:D25,"주")</f>
        <v>0</v>
      </c>
      <c r="V21" s="1139">
        <f>COUNTIF(I6:I25,"주")</f>
        <v>0</v>
      </c>
      <c r="W21" s="1138" t="s">
        <v>26</v>
      </c>
      <c r="X21" s="1138">
        <f>SUMIF(D6:D25,"주",F6:F25)</f>
        <v>0</v>
      </c>
      <c r="Y21" s="1139">
        <f>SUMIF(I6:I25,"주.",K6:K25)</f>
        <v>0</v>
      </c>
      <c r="Z21" s="1138">
        <f>COUNTIF(AJ6:AJ25,"주국")+COUNTIF(AJ6:AJ25,"주공")</f>
        <v>0</v>
      </c>
      <c r="AA21" s="1139">
        <f>COUNTIF(AK6:AK25,"장국")+COUNTIF(AK6:AK25,"장공")</f>
        <v>0</v>
      </c>
      <c r="AB21" s="1138" t="s">
        <v>26</v>
      </c>
      <c r="AC21" s="1138">
        <f>SUMIF(AJ6:AJ25,"장국",F6:F25)+SUMIF(AJ6:AJ25,"장공",F6:F25)</f>
        <v>0</v>
      </c>
      <c r="AD21" s="1139">
        <f>SUMIF(AK6:AK25,"장국",K6:K25)+SUMIF(AK6:AK25,"장공",K6:K25)</f>
        <v>0</v>
      </c>
      <c r="AE21" s="1138">
        <f t="shared" si="0"/>
        <v>0</v>
      </c>
      <c r="AF21" s="1139">
        <f t="shared" si="0"/>
        <v>0</v>
      </c>
      <c r="AG21" s="1138" t="s">
        <v>26</v>
      </c>
      <c r="AH21" s="1138">
        <f t="shared" si="1"/>
        <v>0</v>
      </c>
      <c r="AI21" s="1139">
        <f t="shared" si="1"/>
        <v>0</v>
      </c>
      <c r="AJ21" s="1138" t="str">
        <f t="shared" si="2"/>
        <v>전진성숙</v>
      </c>
      <c r="AK21" s="1138" t="str">
        <f t="shared" si="3"/>
        <v>전공</v>
      </c>
      <c r="AL21" s="66"/>
      <c r="AM21" s="66"/>
    </row>
    <row r="22" spans="1:39" s="67" customFormat="1" ht="24" customHeight="1" x14ac:dyDescent="0.15">
      <c r="A22" s="160">
        <v>17</v>
      </c>
      <c r="B22" s="222" t="s">
        <v>231</v>
      </c>
      <c r="C22" s="1016" t="s">
        <v>438</v>
      </c>
      <c r="D22" s="1016" t="s">
        <v>298</v>
      </c>
      <c r="E22" s="1033">
        <v>153</v>
      </c>
      <c r="F22" s="1033">
        <v>153</v>
      </c>
      <c r="G22" s="1025"/>
      <c r="H22" s="1025" t="s">
        <v>438</v>
      </c>
      <c r="I22" s="1025" t="s">
        <v>298</v>
      </c>
      <c r="J22" s="1036">
        <v>153</v>
      </c>
      <c r="K22" s="1036">
        <v>153</v>
      </c>
      <c r="L22" s="1016" t="s">
        <v>452</v>
      </c>
      <c r="M22" s="1016" t="s">
        <v>453</v>
      </c>
      <c r="N22" s="1025" t="s">
        <v>660</v>
      </c>
      <c r="O22" s="1025" t="s">
        <v>671</v>
      </c>
      <c r="P22" s="203"/>
      <c r="Q22" s="203"/>
      <c r="R22" s="203"/>
      <c r="S22" s="342"/>
      <c r="T22" s="1142" t="s">
        <v>5</v>
      </c>
      <c r="U22" s="1138">
        <f>COUNTIF(D6:D25,"목")</f>
        <v>0</v>
      </c>
      <c r="V22" s="1139">
        <f>COUNTIF(I6:I25,"목")</f>
        <v>0</v>
      </c>
      <c r="W22" s="1138" t="s">
        <v>26</v>
      </c>
      <c r="X22" s="1138">
        <f>SUMIF(D6:D25,"목",F6:F25)</f>
        <v>0</v>
      </c>
      <c r="Y22" s="1139">
        <f>SUMIF(I6:I25,"목",K6:K25)</f>
        <v>0</v>
      </c>
      <c r="Z22" s="1138">
        <f>COUNTIF(AJ6:AJ25,"목국")+COUNTIF(AJ6:AJ25,"목공")</f>
        <v>0</v>
      </c>
      <c r="AA22" s="1139">
        <f>COUNTIF(AK6:AK25,"목국")+COUNTIF(AK6:AK25,"목공")</f>
        <v>0</v>
      </c>
      <c r="AB22" s="1138" t="s">
        <v>26</v>
      </c>
      <c r="AC22" s="1138">
        <f>SUMIF(AJ6:AJ25,"목국",F6:F25)+SUMIF(AJ6:AJ25,"목공",F6:F25)</f>
        <v>0</v>
      </c>
      <c r="AD22" s="1139">
        <f>SUMIF(AK6:AK25,"목국",K6:K25)+SUMIF(AK6:AK25,"목공",K6:K25)</f>
        <v>0</v>
      </c>
      <c r="AE22" s="1138">
        <f t="shared" si="0"/>
        <v>0</v>
      </c>
      <c r="AF22" s="1139">
        <f t="shared" si="0"/>
        <v>0</v>
      </c>
      <c r="AG22" s="1138" t="s">
        <v>26</v>
      </c>
      <c r="AH22" s="1138">
        <f t="shared" si="1"/>
        <v>0</v>
      </c>
      <c r="AI22" s="1139">
        <f t="shared" si="1"/>
        <v>0</v>
      </c>
      <c r="AJ22" s="1138" t="str">
        <f t="shared" si="2"/>
        <v>임홍동운</v>
      </c>
      <c r="AK22" s="1138" t="str">
        <f t="shared" si="3"/>
        <v>임공</v>
      </c>
      <c r="AL22" s="66"/>
      <c r="AM22" s="66"/>
    </row>
    <row r="23" spans="1:39" s="67" customFormat="1" ht="24" customHeight="1" x14ac:dyDescent="0.15">
      <c r="A23" s="160">
        <v>18</v>
      </c>
      <c r="B23" s="222" t="s">
        <v>231</v>
      </c>
      <c r="C23" s="1017">
        <v>641</v>
      </c>
      <c r="D23" s="1016" t="s">
        <v>28</v>
      </c>
      <c r="E23" s="1033">
        <v>876</v>
      </c>
      <c r="F23" s="1033">
        <v>876</v>
      </c>
      <c r="G23" s="1028"/>
      <c r="H23" s="1028">
        <v>641</v>
      </c>
      <c r="I23" s="1025" t="s">
        <v>28</v>
      </c>
      <c r="J23" s="1036">
        <v>876</v>
      </c>
      <c r="K23" s="1036">
        <v>876</v>
      </c>
      <c r="L23" s="1016" t="s">
        <v>444</v>
      </c>
      <c r="M23" s="1016" t="s">
        <v>457</v>
      </c>
      <c r="N23" s="1025" t="s">
        <v>661</v>
      </c>
      <c r="O23" s="1025" t="s">
        <v>670</v>
      </c>
      <c r="P23" s="203"/>
      <c r="Q23" s="203"/>
      <c r="R23" s="203"/>
      <c r="S23" s="342"/>
      <c r="T23" s="1142"/>
      <c r="U23" s="1142"/>
      <c r="V23" s="1143"/>
      <c r="W23" s="1142"/>
      <c r="X23" s="1142"/>
      <c r="Y23" s="1143"/>
      <c r="Z23" s="1138"/>
      <c r="AA23" s="1139"/>
      <c r="AB23" s="1142"/>
      <c r="AC23" s="1138"/>
      <c r="AD23" s="1139"/>
      <c r="AE23" s="1142"/>
      <c r="AF23" s="1143"/>
      <c r="AG23" s="1142"/>
      <c r="AH23" s="1142"/>
      <c r="AI23" s="1143"/>
      <c r="AJ23" s="1138" t="str">
        <f t="shared" si="2"/>
        <v>답진성숙</v>
      </c>
      <c r="AK23" s="1138" t="str">
        <f t="shared" si="3"/>
        <v>답공</v>
      </c>
      <c r="AL23" s="66"/>
      <c r="AM23" s="66"/>
    </row>
    <row r="24" spans="1:39" s="67" customFormat="1" ht="24" customHeight="1" x14ac:dyDescent="0.15">
      <c r="A24" s="160">
        <v>19</v>
      </c>
      <c r="B24" s="222" t="s">
        <v>231</v>
      </c>
      <c r="C24" s="1016" t="s">
        <v>459</v>
      </c>
      <c r="D24" s="1016" t="s">
        <v>298</v>
      </c>
      <c r="E24" s="1033">
        <v>193</v>
      </c>
      <c r="F24" s="1033">
        <v>193</v>
      </c>
      <c r="G24" s="1025"/>
      <c r="H24" s="1025" t="s">
        <v>459</v>
      </c>
      <c r="I24" s="1025" t="s">
        <v>298</v>
      </c>
      <c r="J24" s="1036">
        <v>193</v>
      </c>
      <c r="K24" s="1036">
        <v>193</v>
      </c>
      <c r="L24" s="1016" t="s">
        <v>478</v>
      </c>
      <c r="M24" s="1016" t="s">
        <v>479</v>
      </c>
      <c r="N24" s="1025" t="s">
        <v>672</v>
      </c>
      <c r="O24" s="1025" t="s">
        <v>673</v>
      </c>
      <c r="P24" s="365"/>
      <c r="Q24" s="203"/>
      <c r="R24" s="203"/>
      <c r="S24" s="342"/>
      <c r="T24" s="1142"/>
      <c r="U24" s="1142"/>
      <c r="V24" s="1143"/>
      <c r="W24" s="1142"/>
      <c r="X24" s="1142"/>
      <c r="Y24" s="1143"/>
      <c r="Z24" s="1138"/>
      <c r="AA24" s="1139"/>
      <c r="AB24" s="1142"/>
      <c r="AC24" s="1138"/>
      <c r="AD24" s="1139"/>
      <c r="AE24" s="1142"/>
      <c r="AF24" s="1143"/>
      <c r="AG24" s="1142"/>
      <c r="AH24" s="1142"/>
      <c r="AI24" s="1143"/>
      <c r="AJ24" s="1138" t="str">
        <f t="shared" si="2"/>
        <v>임이주헌</v>
      </c>
      <c r="AK24" s="1138" t="str">
        <f t="shared" si="3"/>
        <v>임공</v>
      </c>
      <c r="AL24" s="66"/>
      <c r="AM24" s="66"/>
    </row>
    <row r="25" spans="1:39" s="67" customFormat="1" ht="24" customHeight="1" x14ac:dyDescent="0.15">
      <c r="A25" s="160">
        <v>20</v>
      </c>
      <c r="B25" s="222" t="s">
        <v>231</v>
      </c>
      <c r="C25" s="1016" t="s">
        <v>460</v>
      </c>
      <c r="D25" s="1016" t="s">
        <v>27</v>
      </c>
      <c r="E25" s="1033">
        <v>737</v>
      </c>
      <c r="F25" s="1033">
        <v>737</v>
      </c>
      <c r="G25" s="1025"/>
      <c r="H25" s="1025" t="s">
        <v>460</v>
      </c>
      <c r="I25" s="1025" t="s">
        <v>27</v>
      </c>
      <c r="J25" s="1036">
        <v>737</v>
      </c>
      <c r="K25" s="1036">
        <v>737</v>
      </c>
      <c r="L25" s="1016" t="s">
        <v>444</v>
      </c>
      <c r="M25" s="1016" t="s">
        <v>457</v>
      </c>
      <c r="N25" s="1025" t="s">
        <v>674</v>
      </c>
      <c r="O25" s="1025" t="s">
        <v>669</v>
      </c>
      <c r="P25" s="203"/>
      <c r="Q25" s="203"/>
      <c r="R25" s="203"/>
      <c r="S25" s="342"/>
      <c r="T25" s="1144" t="s">
        <v>37</v>
      </c>
      <c r="U25" s="1144">
        <f>COUNTIF(D6:D25,"철")</f>
        <v>0</v>
      </c>
      <c r="V25" s="1145">
        <f>COUNTIF(I6:I25,"철")</f>
        <v>0</v>
      </c>
      <c r="W25" s="1144" t="s">
        <v>26</v>
      </c>
      <c r="X25" s="1144">
        <f>SUMIF(D6:D25,"철",F6:F25)</f>
        <v>0</v>
      </c>
      <c r="Y25" s="1145">
        <f>SUMIF(I6:I25,"철",K6:K25)</f>
        <v>0</v>
      </c>
      <c r="Z25" s="1138">
        <f>COUNTIF(AJ6:AJ25,"철국")+COUNTIF(AJ6:AJ25,"철공")</f>
        <v>0</v>
      </c>
      <c r="AA25" s="1139">
        <f>COUNTIF(AK6:AK25,"철국")+COUNTIF(AK6:AK25,"철공")</f>
        <v>0</v>
      </c>
      <c r="AB25" s="1144" t="s">
        <v>26</v>
      </c>
      <c r="AC25" s="1138">
        <f>SUMIF(AJ6:AJ25,"철국",F6:F25)+SUMIF(AJ6:AJ25,"철공",F6:F25)</f>
        <v>0</v>
      </c>
      <c r="AD25" s="1139">
        <f>SUMIF(AK6:AK25,"철국",K6:K25)+SUMIF(AK6:AK25,"철공",K6:K25)</f>
        <v>0</v>
      </c>
      <c r="AE25" s="1144"/>
      <c r="AF25" s="1145"/>
      <c r="AG25" s="1144"/>
      <c r="AH25" s="1144"/>
      <c r="AI25" s="1145"/>
      <c r="AJ25" s="1138" t="str">
        <f t="shared" si="2"/>
        <v>전진성숙</v>
      </c>
      <c r="AK25" s="1138" t="str">
        <f t="shared" si="3"/>
        <v>전공</v>
      </c>
      <c r="AL25" s="66"/>
      <c r="AM25" s="66"/>
    </row>
    <row r="26" spans="1:39" s="57" customFormat="1" ht="24" customHeight="1" thickBot="1" x14ac:dyDescent="0.2">
      <c r="A26" s="1146" t="s">
        <v>48</v>
      </c>
      <c r="B26" s="1147"/>
      <c r="C26" s="1147"/>
      <c r="D26" s="1147"/>
      <c r="E26" s="1147"/>
      <c r="F26" s="1148">
        <f>SUM(F6:F25)</f>
        <v>25211</v>
      </c>
      <c r="G26" s="1149"/>
      <c r="H26" s="1149"/>
      <c r="I26" s="1150"/>
      <c r="J26" s="1151"/>
      <c r="K26" s="1152">
        <f>SUM(K6:K25)</f>
        <v>25211</v>
      </c>
      <c r="L26" s="1153"/>
      <c r="M26" s="1153"/>
      <c r="N26" s="1154"/>
      <c r="O26" s="1154"/>
      <c r="P26" s="1153"/>
      <c r="Q26" s="1153"/>
      <c r="R26" s="1153"/>
      <c r="S26" s="1155"/>
      <c r="T26" s="1156" t="s">
        <v>24</v>
      </c>
      <c r="U26" s="1157">
        <f t="shared" ref="U26:AA26" si="4">SUM(U6:U25)</f>
        <v>20</v>
      </c>
      <c r="V26" s="1157">
        <f t="shared" si="4"/>
        <v>20</v>
      </c>
      <c r="W26" s="1157">
        <f t="shared" si="4"/>
        <v>0</v>
      </c>
      <c r="X26" s="1157">
        <f t="shared" si="4"/>
        <v>25211</v>
      </c>
      <c r="Y26" s="1157">
        <f t="shared" si="4"/>
        <v>25211</v>
      </c>
      <c r="Z26" s="1157">
        <f t="shared" si="4"/>
        <v>0</v>
      </c>
      <c r="AA26" s="1157">
        <f t="shared" si="4"/>
        <v>20</v>
      </c>
      <c r="AB26" s="1157" t="s">
        <v>26</v>
      </c>
      <c r="AC26" s="1157">
        <f>SUM(AC6:AC25)</f>
        <v>0</v>
      </c>
      <c r="AD26" s="1157">
        <f>SUM(AD6:AD25)</f>
        <v>25211</v>
      </c>
      <c r="AE26" s="1157">
        <f>SUM(AE6:AE25)</f>
        <v>20</v>
      </c>
      <c r="AF26" s="1157">
        <f>SUM(AF6:AF25)</f>
        <v>0</v>
      </c>
      <c r="AG26" s="1157" t="s">
        <v>26</v>
      </c>
      <c r="AH26" s="1157">
        <f>SUM(AH6:AH25)</f>
        <v>25211</v>
      </c>
      <c r="AI26" s="1157">
        <f>SUM(AI6:AI25)</f>
        <v>0</v>
      </c>
      <c r="AJ26" s="1157"/>
      <c r="AK26" s="1138" t="str">
        <f t="shared" si="3"/>
        <v/>
      </c>
    </row>
    <row r="27" spans="1:39" s="67" customFormat="1" ht="24" customHeight="1" x14ac:dyDescent="0.15">
      <c r="A27" s="159">
        <v>21</v>
      </c>
      <c r="B27" s="318" t="s">
        <v>228</v>
      </c>
      <c r="C27" s="1016" t="s">
        <v>461</v>
      </c>
      <c r="D27" s="1016" t="s">
        <v>27</v>
      </c>
      <c r="E27" s="1033">
        <v>574</v>
      </c>
      <c r="F27" s="1033">
        <v>574</v>
      </c>
      <c r="G27" s="1025"/>
      <c r="H27" s="1025" t="s">
        <v>461</v>
      </c>
      <c r="I27" s="1025" t="s">
        <v>27</v>
      </c>
      <c r="J27" s="1036">
        <v>574</v>
      </c>
      <c r="K27" s="1036">
        <v>574</v>
      </c>
      <c r="L27" s="1016" t="s">
        <v>444</v>
      </c>
      <c r="M27" s="1016" t="s">
        <v>480</v>
      </c>
      <c r="N27" s="1025" t="s">
        <v>674</v>
      </c>
      <c r="O27" s="1025" t="s">
        <v>669</v>
      </c>
      <c r="P27" s="362"/>
      <c r="Q27" s="362"/>
      <c r="R27" s="362"/>
      <c r="S27" s="358"/>
      <c r="T27" s="1138" t="s">
        <v>27</v>
      </c>
      <c r="U27" s="1138">
        <f>COUNTIF(D27:D46,"전")</f>
        <v>12</v>
      </c>
      <c r="V27" s="1139">
        <f>COUNTIF(I27:I46,"전")</f>
        <v>12</v>
      </c>
      <c r="W27" s="1138" t="s">
        <v>26</v>
      </c>
      <c r="X27" s="1138">
        <f>SUMIF(D27:D46,"전",F27:F46)</f>
        <v>3315</v>
      </c>
      <c r="Y27" s="1139">
        <f>SUMIF(I27:I46,"전",K27:K46)</f>
        <v>3315</v>
      </c>
      <c r="Z27" s="1138">
        <f>COUNTIF(AJ27:AJ46,"전국")+COUNTIF(AJ27:AJ46,"전공")</f>
        <v>0</v>
      </c>
      <c r="AA27" s="1139">
        <f>COUNTIF(AK27:AK46,"전국")+COUNTIF(AK27:AK46,"전공")</f>
        <v>12</v>
      </c>
      <c r="AB27" s="1138" t="s">
        <v>26</v>
      </c>
      <c r="AC27" s="1138">
        <f>SUMIF(AJ27:AJ46,"전국",F27:F46)+SUMIF(AJ27:AJ46,"전공",F27:F46)</f>
        <v>0</v>
      </c>
      <c r="AD27" s="1139">
        <f>SUMIF(AK27:AK46,"전국",K27:K46)+SUMIF(AK27:AK46,"전공",K27:K46)</f>
        <v>3315</v>
      </c>
      <c r="AE27" s="1138">
        <f t="shared" ref="AE27:AF43" si="5">U27-Z27</f>
        <v>12</v>
      </c>
      <c r="AF27" s="1139">
        <f t="shared" si="5"/>
        <v>0</v>
      </c>
      <c r="AG27" s="1138" t="s">
        <v>26</v>
      </c>
      <c r="AH27" s="1138">
        <f t="shared" ref="AH27:AI43" si="6">X27-AC27</f>
        <v>3315</v>
      </c>
      <c r="AI27" s="1139">
        <f t="shared" si="6"/>
        <v>0</v>
      </c>
      <c r="AJ27" s="1138" t="str">
        <f t="shared" ref="AJ27:AJ46" si="7">CONCATENATE(D27,L27)</f>
        <v>전진성숙</v>
      </c>
      <c r="AK27" s="1138" t="str">
        <f t="shared" si="3"/>
        <v>전공</v>
      </c>
    </row>
    <row r="28" spans="1:39" s="67" customFormat="1" ht="24" customHeight="1" x14ac:dyDescent="0.15">
      <c r="A28" s="160">
        <v>22</v>
      </c>
      <c r="B28" s="222" t="s">
        <v>231</v>
      </c>
      <c r="C28" s="1016" t="s">
        <v>462</v>
      </c>
      <c r="D28" s="1016" t="s">
        <v>28</v>
      </c>
      <c r="E28" s="1033">
        <v>537</v>
      </c>
      <c r="F28" s="1033">
        <v>537</v>
      </c>
      <c r="G28" s="1025"/>
      <c r="H28" s="1025" t="s">
        <v>462</v>
      </c>
      <c r="I28" s="1025" t="s">
        <v>28</v>
      </c>
      <c r="J28" s="1036">
        <v>350</v>
      </c>
      <c r="K28" s="1036">
        <v>183</v>
      </c>
      <c r="L28" s="1016" t="s">
        <v>481</v>
      </c>
      <c r="M28" s="1037" t="s">
        <v>499</v>
      </c>
      <c r="N28" s="1025" t="s">
        <v>660</v>
      </c>
      <c r="O28" s="1025" t="s">
        <v>669</v>
      </c>
      <c r="P28" s="370"/>
      <c r="Q28" s="370"/>
      <c r="R28" s="370"/>
      <c r="S28" s="345"/>
      <c r="T28" s="1138" t="s">
        <v>28</v>
      </c>
      <c r="U28" s="1138">
        <f>COUNTIF(D27:D46,"답")</f>
        <v>4</v>
      </c>
      <c r="V28" s="1139">
        <f>COUNTIF(I27:I46,"답")</f>
        <v>4</v>
      </c>
      <c r="W28" s="1138" t="s">
        <v>26</v>
      </c>
      <c r="X28" s="1138">
        <f>SUMIF(D27:D46,"답",F27:F46)</f>
        <v>1773</v>
      </c>
      <c r="Y28" s="1139">
        <f>SUMIF(I27:I46,"답",K27:K46)</f>
        <v>1419</v>
      </c>
      <c r="Z28" s="1138">
        <f>COUNTIF(AJ27:AJ46,"답국")+COUNTIF(AJ27:AJ46,"답공")</f>
        <v>0</v>
      </c>
      <c r="AA28" s="1139">
        <f>COUNTIF(AK27:AK46,"답국")+COUNTIF(AK27:AK46,"답공")</f>
        <v>4</v>
      </c>
      <c r="AB28" s="1138" t="s">
        <v>26</v>
      </c>
      <c r="AC28" s="1138">
        <f>SUMIF(AJ27:AJ46,"답국",F27:F46)+SUMIF(AJ27:AJ46,"답공",F27:F46)</f>
        <v>0</v>
      </c>
      <c r="AD28" s="1139">
        <f>SUMIF(AK27:AK46,"답국",K27:K46)+SUMIF(AK27:AK46,"답공",K27:K46)</f>
        <v>1419</v>
      </c>
      <c r="AE28" s="1138">
        <f t="shared" si="5"/>
        <v>4</v>
      </c>
      <c r="AF28" s="1139">
        <f t="shared" si="5"/>
        <v>0</v>
      </c>
      <c r="AG28" s="1138" t="s">
        <v>26</v>
      </c>
      <c r="AH28" s="1138">
        <f t="shared" si="6"/>
        <v>1773</v>
      </c>
      <c r="AI28" s="1139">
        <f t="shared" si="6"/>
        <v>0</v>
      </c>
      <c r="AJ28" s="1138" t="str">
        <f t="shared" si="7"/>
        <v>답이교순</v>
      </c>
      <c r="AK28" s="1138" t="str">
        <f t="shared" si="3"/>
        <v>답공</v>
      </c>
    </row>
    <row r="29" spans="1:39" s="67" customFormat="1" ht="24" customHeight="1" x14ac:dyDescent="0.15">
      <c r="A29" s="160">
        <v>23</v>
      </c>
      <c r="B29" s="222" t="s">
        <v>231</v>
      </c>
      <c r="C29" s="1016" t="s">
        <v>464</v>
      </c>
      <c r="D29" s="1016" t="s">
        <v>27</v>
      </c>
      <c r="E29" s="1033">
        <v>87</v>
      </c>
      <c r="F29" s="1033">
        <v>87</v>
      </c>
      <c r="G29" s="1025"/>
      <c r="H29" s="1025" t="s">
        <v>464</v>
      </c>
      <c r="I29" s="1025" t="s">
        <v>27</v>
      </c>
      <c r="J29" s="1036">
        <v>87</v>
      </c>
      <c r="K29" s="1036">
        <v>87</v>
      </c>
      <c r="L29" s="1037" t="s">
        <v>484</v>
      </c>
      <c r="M29" s="1016" t="s">
        <v>485</v>
      </c>
      <c r="N29" s="1025" t="s">
        <v>660</v>
      </c>
      <c r="O29" s="1025" t="s">
        <v>673</v>
      </c>
      <c r="P29" s="370"/>
      <c r="Q29" s="370"/>
      <c r="R29" s="203"/>
      <c r="S29" s="345"/>
      <c r="T29" s="1138" t="s">
        <v>44</v>
      </c>
      <c r="U29" s="1138">
        <f>COUNTIF(D27:D46,"임")</f>
        <v>1</v>
      </c>
      <c r="V29" s="1139">
        <f>COUNTIF(I27:I46,"임")</f>
        <v>1</v>
      </c>
      <c r="W29" s="1138" t="s">
        <v>26</v>
      </c>
      <c r="X29" s="1138">
        <f>SUMIF(D27:D46,"임",F27:F46)</f>
        <v>880</v>
      </c>
      <c r="Y29" s="1139">
        <f>SUMIF(I27:I46,"임",K27:K46)</f>
        <v>880</v>
      </c>
      <c r="Z29" s="1138">
        <f>COUNTIF(AJ27:AJ46,"임국")+COUNTIF(AJ27:AJ46,"임공")</f>
        <v>0</v>
      </c>
      <c r="AA29" s="1139">
        <f>COUNTIF(AK27:AK46,"임국")+COUNTIF(AK27:AK46,"임공")</f>
        <v>1</v>
      </c>
      <c r="AB29" s="1138" t="s">
        <v>26</v>
      </c>
      <c r="AC29" s="1138">
        <f>SUMIF(AJ27:AJ46,"임국",F27:F46)+SUMIF(AJ27:AJ46,"임공",F27:F46)</f>
        <v>0</v>
      </c>
      <c r="AD29" s="1139">
        <f>SUMIF(AK27:AK46,"임국",K27:K46)+SUMIF(AK27:AK46,"임공",K27:K46)</f>
        <v>880</v>
      </c>
      <c r="AE29" s="1138">
        <f t="shared" si="5"/>
        <v>1</v>
      </c>
      <c r="AF29" s="1139">
        <f t="shared" si="5"/>
        <v>0</v>
      </c>
      <c r="AG29" s="1138" t="s">
        <v>26</v>
      </c>
      <c r="AH29" s="1138">
        <f t="shared" si="6"/>
        <v>880</v>
      </c>
      <c r="AI29" s="1139">
        <f t="shared" si="6"/>
        <v>0</v>
      </c>
      <c r="AJ29" s="1138" t="str">
        <f t="shared" si="7"/>
        <v>전대원농원주 식회사</v>
      </c>
      <c r="AK29" s="1138" t="str">
        <f t="shared" si="3"/>
        <v>전공</v>
      </c>
      <c r="AL29" s="66"/>
      <c r="AM29" s="66"/>
    </row>
    <row r="30" spans="1:39" s="67" customFormat="1" ht="24" customHeight="1" x14ac:dyDescent="0.15">
      <c r="A30" s="160">
        <v>24</v>
      </c>
      <c r="B30" s="222" t="s">
        <v>231</v>
      </c>
      <c r="C30" s="1016" t="s">
        <v>465</v>
      </c>
      <c r="D30" s="1016" t="s">
        <v>27</v>
      </c>
      <c r="E30" s="1033">
        <v>301</v>
      </c>
      <c r="F30" s="1033">
        <v>301</v>
      </c>
      <c r="G30" s="1025"/>
      <c r="H30" s="1025" t="s">
        <v>465</v>
      </c>
      <c r="I30" s="1025" t="s">
        <v>27</v>
      </c>
      <c r="J30" s="1036">
        <v>301</v>
      </c>
      <c r="K30" s="1036">
        <v>301</v>
      </c>
      <c r="L30" s="1016" t="s">
        <v>484</v>
      </c>
      <c r="M30" s="1016" t="s">
        <v>485</v>
      </c>
      <c r="N30" s="1025" t="s">
        <v>660</v>
      </c>
      <c r="O30" s="1025" t="s">
        <v>669</v>
      </c>
      <c r="P30" s="370"/>
      <c r="Q30" s="370"/>
      <c r="R30" s="203"/>
      <c r="S30" s="345"/>
      <c r="T30" s="1138" t="s">
        <v>45</v>
      </c>
      <c r="U30" s="1138">
        <f>COUNTIF(D27:D46,"대")</f>
        <v>1</v>
      </c>
      <c r="V30" s="1139">
        <f>COUNTIF(I27:I46,"대")</f>
        <v>1</v>
      </c>
      <c r="W30" s="1138" t="s">
        <v>26</v>
      </c>
      <c r="X30" s="1138">
        <f>SUMIF(D27:D46,"대",F27:F46)</f>
        <v>125</v>
      </c>
      <c r="Y30" s="1139">
        <f>SUMIF(I27:I46,"대",K27:K46)</f>
        <v>125</v>
      </c>
      <c r="Z30" s="1138">
        <f>COUNTIF(AJ27:AJ46,"대국")+COUNTIF(AJ27:AJ46,"대공")</f>
        <v>0</v>
      </c>
      <c r="AA30" s="1139">
        <f>COUNTIF(AK27:AK46,"대국")+COUNTIF(AK27:AK46,"대공")</f>
        <v>1</v>
      </c>
      <c r="AB30" s="1138" t="s">
        <v>26</v>
      </c>
      <c r="AC30" s="1138">
        <f>SUMIF(AJ27:AJ46,"대국",F27:F46)+SUMIF(AJ27:AJ46,"대공",F27:F46)</f>
        <v>0</v>
      </c>
      <c r="AD30" s="1139">
        <f>SUMIF(AK27:AK46,"대국",K27:K46)+SUMIF(AK27:AK46,"대공",K27:K46)</f>
        <v>125</v>
      </c>
      <c r="AE30" s="1138">
        <f t="shared" si="5"/>
        <v>1</v>
      </c>
      <c r="AF30" s="1139">
        <f t="shared" si="5"/>
        <v>0</v>
      </c>
      <c r="AG30" s="1138" t="s">
        <v>26</v>
      </c>
      <c r="AH30" s="1138">
        <f t="shared" si="6"/>
        <v>125</v>
      </c>
      <c r="AI30" s="1139">
        <f t="shared" si="6"/>
        <v>0</v>
      </c>
      <c r="AJ30" s="1138" t="str">
        <f t="shared" si="7"/>
        <v>전대원농원주 식회사</v>
      </c>
      <c r="AK30" s="1138" t="str">
        <f t="shared" si="3"/>
        <v>전공</v>
      </c>
      <c r="AL30" s="66"/>
      <c r="AM30" s="66"/>
    </row>
    <row r="31" spans="1:39" s="67" customFormat="1" ht="24" customHeight="1" x14ac:dyDescent="0.15">
      <c r="A31" s="160">
        <v>25</v>
      </c>
      <c r="B31" s="222" t="s">
        <v>231</v>
      </c>
      <c r="C31" s="1016" t="s">
        <v>466</v>
      </c>
      <c r="D31" s="1016" t="s">
        <v>27</v>
      </c>
      <c r="E31" s="1033">
        <v>220</v>
      </c>
      <c r="F31" s="1033">
        <v>220</v>
      </c>
      <c r="G31" s="1025"/>
      <c r="H31" s="1025" t="s">
        <v>466</v>
      </c>
      <c r="I31" s="1025" t="s">
        <v>27</v>
      </c>
      <c r="J31" s="1036">
        <v>220</v>
      </c>
      <c r="K31" s="1036">
        <v>220</v>
      </c>
      <c r="L31" s="1016" t="s">
        <v>486</v>
      </c>
      <c r="M31" s="1016" t="s">
        <v>487</v>
      </c>
      <c r="N31" s="1025" t="s">
        <v>660</v>
      </c>
      <c r="O31" s="1025" t="s">
        <v>673</v>
      </c>
      <c r="P31" s="203"/>
      <c r="Q31" s="203"/>
      <c r="R31" s="203"/>
      <c r="S31" s="345"/>
      <c r="T31" s="1138" t="s">
        <v>31</v>
      </c>
      <c r="U31" s="1138">
        <f>COUNTIF(D27:D46,"도")</f>
        <v>0</v>
      </c>
      <c r="V31" s="1139">
        <f>COUNTIF(I27:I46,"도")</f>
        <v>0</v>
      </c>
      <c r="W31" s="1138" t="s">
        <v>26</v>
      </c>
      <c r="X31" s="1138">
        <f>SUMIF(D27:D46,"도",F27:F46)</f>
        <v>0</v>
      </c>
      <c r="Y31" s="1139">
        <f>SUMIF(I27:I46,"도",K27:K46)</f>
        <v>0</v>
      </c>
      <c r="Z31" s="1138">
        <f>COUNTIF(AJ27:AJ46,"도국")+COUNTIF(AJ27:AJ46,"도공")</f>
        <v>0</v>
      </c>
      <c r="AA31" s="1139">
        <f>COUNTIF(AK27:AK46,"도국")+COUNTIF(AK27:AK46,"도공")</f>
        <v>0</v>
      </c>
      <c r="AB31" s="1138" t="s">
        <v>26</v>
      </c>
      <c r="AC31" s="1138">
        <f>SUMIF(AJ27:AJ46,"도국",F27:F46)+SUMIF(AJ27:AJ46,"도공",F27:F46)</f>
        <v>0</v>
      </c>
      <c r="AD31" s="1139">
        <f>SUMIF(AK27:AK46,"도국",K27:K46)+SUMIF(AK27:AK46,"도공",K27:K46)</f>
        <v>0</v>
      </c>
      <c r="AE31" s="1138">
        <f t="shared" si="5"/>
        <v>0</v>
      </c>
      <c r="AF31" s="1139">
        <f t="shared" si="5"/>
        <v>0</v>
      </c>
      <c r="AG31" s="1138" t="s">
        <v>26</v>
      </c>
      <c r="AH31" s="1138">
        <f t="shared" si="6"/>
        <v>0</v>
      </c>
      <c r="AI31" s="1139">
        <f t="shared" si="6"/>
        <v>0</v>
      </c>
      <c r="AJ31" s="1138" t="str">
        <f t="shared" si="7"/>
        <v>전임만식</v>
      </c>
      <c r="AK31" s="1138" t="str">
        <f t="shared" si="3"/>
        <v>전공</v>
      </c>
      <c r="AL31" s="66"/>
      <c r="AM31" s="66"/>
    </row>
    <row r="32" spans="1:39" s="67" customFormat="1" ht="24" customHeight="1" x14ac:dyDescent="0.15">
      <c r="A32" s="160">
        <v>26</v>
      </c>
      <c r="B32" s="222" t="s">
        <v>231</v>
      </c>
      <c r="C32" s="1016" t="s">
        <v>467</v>
      </c>
      <c r="D32" s="1016" t="s">
        <v>27</v>
      </c>
      <c r="E32" s="1033">
        <v>168</v>
      </c>
      <c r="F32" s="1033">
        <v>168</v>
      </c>
      <c r="G32" s="1025"/>
      <c r="H32" s="1025" t="s">
        <v>467</v>
      </c>
      <c r="I32" s="1025" t="s">
        <v>27</v>
      </c>
      <c r="J32" s="1036">
        <v>168</v>
      </c>
      <c r="K32" s="1036">
        <v>168</v>
      </c>
      <c r="L32" s="1016" t="s">
        <v>488</v>
      </c>
      <c r="M32" s="1037" t="s">
        <v>500</v>
      </c>
      <c r="N32" s="1025" t="s">
        <v>660</v>
      </c>
      <c r="O32" s="1025" t="s">
        <v>669</v>
      </c>
      <c r="P32" s="203"/>
      <c r="Q32" s="203"/>
      <c r="R32" s="203"/>
      <c r="S32" s="345"/>
      <c r="T32" s="1138" t="s">
        <v>32</v>
      </c>
      <c r="U32" s="1140">
        <f>COUNTIF(D27:D46,"천")</f>
        <v>1</v>
      </c>
      <c r="V32" s="1141">
        <f>COUNTIF(I27:I46,"천")</f>
        <v>1</v>
      </c>
      <c r="W32" s="1138" t="s">
        <v>26</v>
      </c>
      <c r="X32" s="1138">
        <f>SUMIF(D27:D46,"천",F27:F46)</f>
        <v>4509</v>
      </c>
      <c r="Y32" s="1139">
        <f>SUMIF(I27:I46,"천",K27:K46)</f>
        <v>4453</v>
      </c>
      <c r="Z32" s="1138">
        <f>COUNTIF(AJ27:AJ46,"천국")+COUNTIF(AJ27:AJ46,"천공")</f>
        <v>1</v>
      </c>
      <c r="AA32" s="1139">
        <f>COUNTIF(AK27:AK46,"천국")+COUNTIF(AK27:AK46,"천공")</f>
        <v>1</v>
      </c>
      <c r="AB32" s="1138" t="s">
        <v>26</v>
      </c>
      <c r="AC32" s="1138">
        <f>SUMIF(AJ27:AJ46,"천국",F27:F46)+SUMIF(AJ27:AJ46,"천공",F27:F46)</f>
        <v>4509</v>
      </c>
      <c r="AD32" s="1139">
        <f>SUMIF(AK27:AK46,"천국",K27:K46)+SUMIF(AK27:AK46,"천공",K27:K46)</f>
        <v>4453</v>
      </c>
      <c r="AE32" s="1138">
        <f t="shared" si="5"/>
        <v>0</v>
      </c>
      <c r="AF32" s="1139">
        <f t="shared" si="5"/>
        <v>0</v>
      </c>
      <c r="AG32" s="1138" t="s">
        <v>26</v>
      </c>
      <c r="AH32" s="1138">
        <f t="shared" si="6"/>
        <v>0</v>
      </c>
      <c r="AI32" s="1139">
        <f t="shared" si="6"/>
        <v>0</v>
      </c>
      <c r="AJ32" s="1138" t="str">
        <f t="shared" si="7"/>
        <v>전박귀애</v>
      </c>
      <c r="AK32" s="1138" t="str">
        <f t="shared" si="3"/>
        <v>전공</v>
      </c>
      <c r="AL32" s="66"/>
      <c r="AM32" s="66"/>
    </row>
    <row r="33" spans="1:39" s="67" customFormat="1" ht="24" customHeight="1" x14ac:dyDescent="0.15">
      <c r="A33" s="160">
        <v>27</v>
      </c>
      <c r="B33" s="222" t="s">
        <v>231</v>
      </c>
      <c r="C33" s="1016" t="s">
        <v>469</v>
      </c>
      <c r="D33" s="1016" t="s">
        <v>27</v>
      </c>
      <c r="E33" s="1033">
        <v>28</v>
      </c>
      <c r="F33" s="1033">
        <v>28</v>
      </c>
      <c r="G33" s="1025"/>
      <c r="H33" s="1025" t="s">
        <v>469</v>
      </c>
      <c r="I33" s="1025" t="s">
        <v>27</v>
      </c>
      <c r="J33" s="1036">
        <v>28</v>
      </c>
      <c r="K33" s="1036">
        <v>28</v>
      </c>
      <c r="L33" s="1016" t="s">
        <v>489</v>
      </c>
      <c r="M33" s="1016" t="s">
        <v>490</v>
      </c>
      <c r="N33" s="1025" t="s">
        <v>660</v>
      </c>
      <c r="O33" s="1025" t="s">
        <v>675</v>
      </c>
      <c r="P33" s="203"/>
      <c r="Q33" s="203"/>
      <c r="R33" s="203"/>
      <c r="S33" s="345"/>
      <c r="T33" s="1138" t="s">
        <v>33</v>
      </c>
      <c r="U33" s="1138">
        <f>COUNTIF(D27:D46,"구")</f>
        <v>0</v>
      </c>
      <c r="V33" s="1139">
        <f>COUNTIF(I27:I46,"구")</f>
        <v>0</v>
      </c>
      <c r="W33" s="1138" t="s">
        <v>26</v>
      </c>
      <c r="X33" s="1138">
        <f>SUMIF(D27:D46,"구",F27:F46)</f>
        <v>0</v>
      </c>
      <c r="Y33" s="1139">
        <f>SUMIF(I27:I46,"구",K27:K46)</f>
        <v>0</v>
      </c>
      <c r="Z33" s="1138">
        <f>COUNTIF(AJ27:AJ46,"구국")+COUNTIF(AJ27:AJ46,"구공")</f>
        <v>0</v>
      </c>
      <c r="AA33" s="1139">
        <f>COUNTIF(AK27:AK46,"구국")+COUNTIF(AK27:AK46,"구공")</f>
        <v>0</v>
      </c>
      <c r="AB33" s="1138" t="s">
        <v>26</v>
      </c>
      <c r="AC33" s="1138">
        <f>SUMIF(AJ27:AJ46,"구국",F27:F46)+SUMIF(AJ27:AJ46,"구공",F27:F46)</f>
        <v>0</v>
      </c>
      <c r="AD33" s="1139">
        <f>SUMIF(AK27:AK46,"구국",K27:K46)+SUMIF(AK27:AK46,"구공",K27:K46)</f>
        <v>0</v>
      </c>
      <c r="AE33" s="1138">
        <f t="shared" si="5"/>
        <v>0</v>
      </c>
      <c r="AF33" s="1139">
        <f t="shared" si="5"/>
        <v>0</v>
      </c>
      <c r="AG33" s="1138" t="s">
        <v>26</v>
      </c>
      <c r="AH33" s="1138">
        <f t="shared" si="6"/>
        <v>0</v>
      </c>
      <c r="AI33" s="1139">
        <f t="shared" si="6"/>
        <v>0</v>
      </c>
      <c r="AJ33" s="1138" t="str">
        <f t="shared" si="7"/>
        <v>전강진희</v>
      </c>
      <c r="AK33" s="1138" t="str">
        <f t="shared" si="3"/>
        <v>전공</v>
      </c>
      <c r="AL33" s="66"/>
      <c r="AM33" s="66"/>
    </row>
    <row r="34" spans="1:39" s="67" customFormat="1" ht="24" customHeight="1" x14ac:dyDescent="0.15">
      <c r="A34" s="160">
        <v>28</v>
      </c>
      <c r="B34" s="222" t="s">
        <v>231</v>
      </c>
      <c r="C34" s="1016" t="s">
        <v>470</v>
      </c>
      <c r="D34" s="1016" t="s">
        <v>27</v>
      </c>
      <c r="E34" s="1033">
        <v>397</v>
      </c>
      <c r="F34" s="1033">
        <v>397</v>
      </c>
      <c r="G34" s="1025"/>
      <c r="H34" s="1025" t="s">
        <v>470</v>
      </c>
      <c r="I34" s="1025" t="s">
        <v>27</v>
      </c>
      <c r="J34" s="1036">
        <v>397</v>
      </c>
      <c r="K34" s="1036">
        <v>397</v>
      </c>
      <c r="L34" s="1016" t="s">
        <v>489</v>
      </c>
      <c r="M34" s="1016" t="s">
        <v>490</v>
      </c>
      <c r="N34" s="1025" t="s">
        <v>674</v>
      </c>
      <c r="O34" s="1025" t="s">
        <v>669</v>
      </c>
      <c r="P34" s="203"/>
      <c r="Q34" s="203"/>
      <c r="R34" s="203"/>
      <c r="S34" s="345"/>
      <c r="T34" s="1138" t="s">
        <v>34</v>
      </c>
      <c r="U34" s="1138">
        <f>COUNTIF(D27:D46,"제")</f>
        <v>0</v>
      </c>
      <c r="V34" s="1139">
        <f>COUNTIF(I27:I46,"제")</f>
        <v>0</v>
      </c>
      <c r="W34" s="1138" t="s">
        <v>26</v>
      </c>
      <c r="X34" s="1138">
        <f>SUMIF(D27:D46,"제",F27:F46)</f>
        <v>0</v>
      </c>
      <c r="Y34" s="1139">
        <f>SUMIF(I27:I46,"제",K27:K46)</f>
        <v>0</v>
      </c>
      <c r="Z34" s="1138">
        <f>COUNTIF(AJ27:AJ46,"제국")+COUNTIF(AJ27:AJ46,"제공")</f>
        <v>0</v>
      </c>
      <c r="AA34" s="1139">
        <f>COUNTIF(AK27:AK46,"제국")+COUNTIF(AK27:AK46,"제공")</f>
        <v>0</v>
      </c>
      <c r="AB34" s="1138" t="s">
        <v>26</v>
      </c>
      <c r="AC34" s="1138">
        <f>SUMIF(AJ27:AJ46,"제국",F27:F46)+SUMIF(AJ27:AJ46,"제공",F27:F46)</f>
        <v>0</v>
      </c>
      <c r="AD34" s="1139">
        <f>SUMIF(AK27:AK46,"제국",K27:K46)+SUMIF(AK27:AK46,"제공",K27:K46)</f>
        <v>0</v>
      </c>
      <c r="AE34" s="1138">
        <f t="shared" si="5"/>
        <v>0</v>
      </c>
      <c r="AF34" s="1139">
        <f t="shared" si="5"/>
        <v>0</v>
      </c>
      <c r="AG34" s="1138" t="s">
        <v>26</v>
      </c>
      <c r="AH34" s="1138">
        <f t="shared" si="6"/>
        <v>0</v>
      </c>
      <c r="AI34" s="1139">
        <f t="shared" si="6"/>
        <v>0</v>
      </c>
      <c r="AJ34" s="1138" t="str">
        <f t="shared" si="7"/>
        <v>전강진희</v>
      </c>
      <c r="AK34" s="1138" t="str">
        <f t="shared" si="3"/>
        <v>전공</v>
      </c>
      <c r="AL34" s="66"/>
      <c r="AM34" s="66"/>
    </row>
    <row r="35" spans="1:39" s="67" customFormat="1" ht="24" customHeight="1" x14ac:dyDescent="0.15">
      <c r="A35" s="160">
        <v>29</v>
      </c>
      <c r="B35" s="222" t="s">
        <v>231</v>
      </c>
      <c r="C35" s="1016" t="s">
        <v>471</v>
      </c>
      <c r="D35" s="1016" t="s">
        <v>27</v>
      </c>
      <c r="E35" s="1033">
        <v>690</v>
      </c>
      <c r="F35" s="1033">
        <v>690</v>
      </c>
      <c r="G35" s="1025"/>
      <c r="H35" s="1025" t="s">
        <v>471</v>
      </c>
      <c r="I35" s="1025" t="s">
        <v>27</v>
      </c>
      <c r="J35" s="1036">
        <v>690</v>
      </c>
      <c r="K35" s="1036">
        <v>690</v>
      </c>
      <c r="L35" s="1016" t="s">
        <v>491</v>
      </c>
      <c r="M35" s="1016" t="s">
        <v>492</v>
      </c>
      <c r="N35" s="1025" t="s">
        <v>672</v>
      </c>
      <c r="O35" s="1025" t="s">
        <v>671</v>
      </c>
      <c r="P35" s="618"/>
      <c r="Q35" s="618"/>
      <c r="R35" s="618"/>
      <c r="S35" s="342"/>
      <c r="T35" s="1138" t="s">
        <v>46</v>
      </c>
      <c r="U35" s="1138">
        <f>COUNTIF(D27:D46,"유")</f>
        <v>0</v>
      </c>
      <c r="V35" s="1139">
        <f>COUNTIF(I27:I46,"유")</f>
        <v>0</v>
      </c>
      <c r="W35" s="1138" t="s">
        <v>26</v>
      </c>
      <c r="X35" s="1138">
        <f>SUMIF(D27:D46,"유",F27:F46)</f>
        <v>0</v>
      </c>
      <c r="Y35" s="1139">
        <f>SUMIF(I27:I46,"유",K27:K46)</f>
        <v>0</v>
      </c>
      <c r="Z35" s="1138">
        <f>COUNTIF(AJ27:AJ46,"유국")+COUNTIF(AJ27:AJ46,"유공")</f>
        <v>0</v>
      </c>
      <c r="AA35" s="1139">
        <f>COUNTIF(AK27:AK46,"유국")+COUNTIF(AK27:AK46,"유공")</f>
        <v>0</v>
      </c>
      <c r="AB35" s="1138" t="s">
        <v>26</v>
      </c>
      <c r="AC35" s="1138">
        <f>SUMIF(AJ27:AJ46,"유국",F27:F46)+SUMIF(AJ27:AJ46,"유공",F27:F46)</f>
        <v>0</v>
      </c>
      <c r="AD35" s="1139">
        <f>SUMIF(AK27:AK46,"유국",K27:K46)+SUMIF(AK27:AK46,"유공",K27:K46)</f>
        <v>0</v>
      </c>
      <c r="AE35" s="1138">
        <f t="shared" si="5"/>
        <v>0</v>
      </c>
      <c r="AF35" s="1139">
        <f t="shared" si="5"/>
        <v>0</v>
      </c>
      <c r="AG35" s="1138" t="s">
        <v>26</v>
      </c>
      <c r="AH35" s="1138">
        <f t="shared" si="6"/>
        <v>0</v>
      </c>
      <c r="AI35" s="1139">
        <f t="shared" si="6"/>
        <v>0</v>
      </c>
      <c r="AJ35" s="1138" t="str">
        <f t="shared" si="7"/>
        <v>전장재원</v>
      </c>
      <c r="AK35" s="1138" t="str">
        <f t="shared" si="3"/>
        <v>전공</v>
      </c>
      <c r="AL35" s="66"/>
      <c r="AM35" s="66"/>
    </row>
    <row r="36" spans="1:39" s="67" customFormat="1" ht="24" customHeight="1" x14ac:dyDescent="0.15">
      <c r="A36" s="160">
        <v>30</v>
      </c>
      <c r="B36" s="222" t="s">
        <v>231</v>
      </c>
      <c r="C36" s="1016" t="s">
        <v>472</v>
      </c>
      <c r="D36" s="1016" t="s">
        <v>298</v>
      </c>
      <c r="E36" s="1033">
        <v>880</v>
      </c>
      <c r="F36" s="1033">
        <v>880</v>
      </c>
      <c r="G36" s="1025"/>
      <c r="H36" s="1025" t="s">
        <v>472</v>
      </c>
      <c r="I36" s="1025" t="s">
        <v>298</v>
      </c>
      <c r="J36" s="1036">
        <v>880</v>
      </c>
      <c r="K36" s="1036">
        <v>880</v>
      </c>
      <c r="L36" s="1016" t="s">
        <v>449</v>
      </c>
      <c r="M36" s="1016" t="s">
        <v>493</v>
      </c>
      <c r="N36" s="1025" t="s">
        <v>674</v>
      </c>
      <c r="O36" s="1025" t="s">
        <v>669</v>
      </c>
      <c r="P36" s="370"/>
      <c r="Q36" s="370"/>
      <c r="R36" s="370"/>
      <c r="S36" s="342"/>
      <c r="T36" s="1138" t="s">
        <v>47</v>
      </c>
      <c r="U36" s="1138">
        <f>COUNTIF(D27:D46,"과")</f>
        <v>0</v>
      </c>
      <c r="V36" s="1139">
        <f>COUNTIF(I27:I46,"과")</f>
        <v>0</v>
      </c>
      <c r="W36" s="1138" t="s">
        <v>26</v>
      </c>
      <c r="X36" s="1138">
        <f>SUMIF(D27:D46,"과",F27:F46)</f>
        <v>0</v>
      </c>
      <c r="Y36" s="1139">
        <f>SUMIF(I27:I46,"과",K27:K46)</f>
        <v>0</v>
      </c>
      <c r="Z36" s="1138">
        <f>COUNTIF(AJ27:AJ46,"과국")+COUNTIF(AJ27:AJ46,"과공")</f>
        <v>0</v>
      </c>
      <c r="AA36" s="1139">
        <f>COUNTIF(AK27:AK46,"과국")+COUNTIF(AK27:AK46,"과공")</f>
        <v>0</v>
      </c>
      <c r="AB36" s="1138" t="s">
        <v>26</v>
      </c>
      <c r="AC36" s="1138">
        <f>SUMIF(AJ27:AJ46,"과국",F27:F46)+SUMIF(AJ27:AJ46,"과공",F27:F46)</f>
        <v>0</v>
      </c>
      <c r="AD36" s="1139">
        <f>SUMIF(AK27:AK46,"과국",K27:K46)+SUMIF(AK27:AK46,"과공",K27:K46)</f>
        <v>0</v>
      </c>
      <c r="AE36" s="1138">
        <f t="shared" si="5"/>
        <v>0</v>
      </c>
      <c r="AF36" s="1139">
        <f t="shared" si="5"/>
        <v>0</v>
      </c>
      <c r="AG36" s="1138" t="s">
        <v>26</v>
      </c>
      <c r="AH36" s="1138">
        <f t="shared" si="6"/>
        <v>0</v>
      </c>
      <c r="AI36" s="1139">
        <f t="shared" si="6"/>
        <v>0</v>
      </c>
      <c r="AJ36" s="1138" t="str">
        <f t="shared" si="7"/>
        <v>임이호영외 16인</v>
      </c>
      <c r="AK36" s="1138" t="str">
        <f t="shared" si="3"/>
        <v>임공</v>
      </c>
      <c r="AL36" s="66"/>
      <c r="AM36" s="66"/>
    </row>
    <row r="37" spans="1:39" s="67" customFormat="1" ht="24" customHeight="1" x14ac:dyDescent="0.15">
      <c r="A37" s="160">
        <v>31</v>
      </c>
      <c r="B37" s="222" t="s">
        <v>231</v>
      </c>
      <c r="C37" s="1016" t="s">
        <v>473</v>
      </c>
      <c r="D37" s="1016" t="s">
        <v>156</v>
      </c>
      <c r="E37" s="1033">
        <v>125</v>
      </c>
      <c r="F37" s="1033">
        <v>125</v>
      </c>
      <c r="G37" s="1025"/>
      <c r="H37" s="1025" t="s">
        <v>473</v>
      </c>
      <c r="I37" s="1025" t="s">
        <v>156</v>
      </c>
      <c r="J37" s="1036">
        <v>125</v>
      </c>
      <c r="K37" s="1036">
        <v>125</v>
      </c>
      <c r="L37" s="1016" t="s">
        <v>494</v>
      </c>
      <c r="M37" s="1016" t="s">
        <v>495</v>
      </c>
      <c r="N37" s="1025" t="s">
        <v>674</v>
      </c>
      <c r="O37" s="1025" t="s">
        <v>673</v>
      </c>
      <c r="P37" s="370"/>
      <c r="Q37" s="370"/>
      <c r="R37" s="203"/>
      <c r="S37" s="342"/>
      <c r="T37" s="1138" t="s">
        <v>36</v>
      </c>
      <c r="U37" s="1138">
        <f>COUNTIF(D27:D46,"묘")</f>
        <v>0</v>
      </c>
      <c r="V37" s="1139">
        <f>COUNTIF(I27:I46,"묘")</f>
        <v>0</v>
      </c>
      <c r="W37" s="1138" t="s">
        <v>26</v>
      </c>
      <c r="X37" s="1138">
        <f>SUMIF(D27:D46,"묘",F27:F46)</f>
        <v>0</v>
      </c>
      <c r="Y37" s="1139">
        <f>SUMIF(I27:I46,"묘",K27:K46)</f>
        <v>0</v>
      </c>
      <c r="Z37" s="1138">
        <f>COUNTIF(AJ27:AJ46,"묘국")+COUNTIF(AJ27:AJ46,"묘공")</f>
        <v>0</v>
      </c>
      <c r="AA37" s="1139">
        <f>COUNTIF(AK27:AK46,"묘국")+COUNTIF(AK27:AK46,"묘공")</f>
        <v>0</v>
      </c>
      <c r="AB37" s="1138" t="s">
        <v>26</v>
      </c>
      <c r="AC37" s="1138">
        <f>SUMIF(AJ27:AJ46,"묘국",F27:F46)+SUMIF(AJ27:AJ46,"묘공",F27:F46)</f>
        <v>0</v>
      </c>
      <c r="AD37" s="1139">
        <f>SUMIF(AK27:AK46,"묘국",K27:K46)+SUMIF(AK27:AK46,"묘공",K27:K46)</f>
        <v>0</v>
      </c>
      <c r="AE37" s="1138">
        <f t="shared" si="5"/>
        <v>0</v>
      </c>
      <c r="AF37" s="1139">
        <f t="shared" si="5"/>
        <v>0</v>
      </c>
      <c r="AG37" s="1138" t="s">
        <v>26</v>
      </c>
      <c r="AH37" s="1138">
        <f t="shared" si="6"/>
        <v>0</v>
      </c>
      <c r="AI37" s="1139">
        <f t="shared" si="6"/>
        <v>0</v>
      </c>
      <c r="AJ37" s="1138" t="str">
        <f t="shared" si="7"/>
        <v>대신창묵</v>
      </c>
      <c r="AK37" s="1138" t="str">
        <f t="shared" si="3"/>
        <v>대공</v>
      </c>
      <c r="AL37" s="66"/>
      <c r="AM37" s="66"/>
    </row>
    <row r="38" spans="1:39" s="67" customFormat="1" ht="24" customHeight="1" x14ac:dyDescent="0.15">
      <c r="A38" s="160">
        <v>32</v>
      </c>
      <c r="B38" s="222" t="s">
        <v>231</v>
      </c>
      <c r="C38" s="1016" t="s">
        <v>474</v>
      </c>
      <c r="D38" s="1016" t="s">
        <v>27</v>
      </c>
      <c r="E38" s="1033">
        <v>87</v>
      </c>
      <c r="F38" s="1033">
        <v>87</v>
      </c>
      <c r="G38" s="1025"/>
      <c r="H38" s="1025" t="s">
        <v>474</v>
      </c>
      <c r="I38" s="1025" t="s">
        <v>27</v>
      </c>
      <c r="J38" s="1036">
        <v>87</v>
      </c>
      <c r="K38" s="1036">
        <v>87</v>
      </c>
      <c r="L38" s="1016" t="s">
        <v>494</v>
      </c>
      <c r="M38" s="1016" t="s">
        <v>495</v>
      </c>
      <c r="N38" s="1025" t="s">
        <v>660</v>
      </c>
      <c r="O38" s="1025" t="s">
        <v>675</v>
      </c>
      <c r="P38" s="370"/>
      <c r="Q38" s="370"/>
      <c r="R38" s="203"/>
      <c r="S38" s="342"/>
      <c r="T38" s="1138" t="s">
        <v>39</v>
      </c>
      <c r="U38" s="1138">
        <f>COUNTIF(D27:D46,"수")</f>
        <v>0</v>
      </c>
      <c r="V38" s="1139">
        <f>COUNTIF(I27:I46,"수")</f>
        <v>0</v>
      </c>
      <c r="W38" s="1138" t="s">
        <v>26</v>
      </c>
      <c r="X38" s="1138">
        <f>SUMIF(D27:D46,"수",F27:F46)</f>
        <v>0</v>
      </c>
      <c r="Y38" s="1139">
        <f>SUMIF(I27:I46,"수",K27:K46)</f>
        <v>0</v>
      </c>
      <c r="Z38" s="1138">
        <f>COUNTIF(AJ27:AJ46,"수국")+COUNTIF(AJ27:AJ46,"수공")</f>
        <v>0</v>
      </c>
      <c r="AA38" s="1139">
        <f>COUNTIF(AK27:AK46,"수국")+COUNTIF(AK27:AK46,"수공")</f>
        <v>0</v>
      </c>
      <c r="AB38" s="1138" t="s">
        <v>26</v>
      </c>
      <c r="AC38" s="1138">
        <f>SUMIF(AJ27:AJ46,"수국",F27:F46)+SUMIF(AJ27:AJ46,"수공",F27:F46)</f>
        <v>0</v>
      </c>
      <c r="AD38" s="1139">
        <f>SUMIF(AK27:AK46,"수국",K27:K46)+SUMIF(AK27:AK46,"수공",K27:K46)</f>
        <v>0</v>
      </c>
      <c r="AE38" s="1138">
        <f t="shared" si="5"/>
        <v>0</v>
      </c>
      <c r="AF38" s="1139">
        <f t="shared" si="5"/>
        <v>0</v>
      </c>
      <c r="AG38" s="1138" t="s">
        <v>26</v>
      </c>
      <c r="AH38" s="1138">
        <f t="shared" si="6"/>
        <v>0</v>
      </c>
      <c r="AI38" s="1139">
        <f t="shared" si="6"/>
        <v>0</v>
      </c>
      <c r="AJ38" s="1138" t="str">
        <f t="shared" si="7"/>
        <v>전신창묵</v>
      </c>
      <c r="AK38" s="1138" t="str">
        <f t="shared" si="3"/>
        <v>전공</v>
      </c>
      <c r="AL38" s="66"/>
      <c r="AM38" s="66"/>
    </row>
    <row r="39" spans="1:39" s="67" customFormat="1" ht="24" customHeight="1" x14ac:dyDescent="0.15">
      <c r="A39" s="160">
        <v>33</v>
      </c>
      <c r="B39" s="222" t="s">
        <v>231</v>
      </c>
      <c r="C39" s="1016" t="s">
        <v>475</v>
      </c>
      <c r="D39" s="1016" t="s">
        <v>28</v>
      </c>
      <c r="E39" s="1033">
        <v>602</v>
      </c>
      <c r="F39" s="1033">
        <v>602</v>
      </c>
      <c r="G39" s="1025"/>
      <c r="H39" s="1025" t="s">
        <v>475</v>
      </c>
      <c r="I39" s="1025" t="s">
        <v>28</v>
      </c>
      <c r="J39" s="1036">
        <v>602</v>
      </c>
      <c r="K39" s="1036">
        <v>602</v>
      </c>
      <c r="L39" s="1016" t="s">
        <v>496</v>
      </c>
      <c r="M39" s="1024" t="s">
        <v>501</v>
      </c>
      <c r="N39" s="1025" t="s">
        <v>660</v>
      </c>
      <c r="O39" s="1025" t="s">
        <v>673</v>
      </c>
      <c r="P39" s="203"/>
      <c r="Q39" s="203"/>
      <c r="R39" s="203"/>
      <c r="S39" s="342"/>
      <c r="T39" s="1138" t="s">
        <v>35</v>
      </c>
      <c r="U39" s="1138">
        <f>COUNTIF(D27:D46,"잡")</f>
        <v>0</v>
      </c>
      <c r="V39" s="1139">
        <f>COUNTIF(I27:I46,"잡")</f>
        <v>0</v>
      </c>
      <c r="W39" s="1138" t="s">
        <v>26</v>
      </c>
      <c r="X39" s="1138">
        <f>SUMIF(D27:D46,"잡",F27:F46)</f>
        <v>0</v>
      </c>
      <c r="Y39" s="1139">
        <f>SUMIF(I27:I46,"잡",K27:K46)</f>
        <v>0</v>
      </c>
      <c r="Z39" s="1138">
        <f>COUNTIF(AJ27:AJ46,"잡국")+COUNTIF(AJ27:AJ46,"잡공")</f>
        <v>0</v>
      </c>
      <c r="AA39" s="1139">
        <f>COUNTIF(AK27:AK46,"잡국")+COUNTIF(AK27:AK46,"잡공")</f>
        <v>0</v>
      </c>
      <c r="AB39" s="1138" t="s">
        <v>26</v>
      </c>
      <c r="AC39" s="1138">
        <f>SUMIF(AJ27:AJ46,"잡국",F27:F46)+SUMIF(AJ27:AJ46,"잡공",F27:F46)</f>
        <v>0</v>
      </c>
      <c r="AD39" s="1139">
        <f>SUMIF(AK27:AK46,"잡국",K27:K46)+SUMIF(AK27:AK46,"잡공",K27:K46)</f>
        <v>0</v>
      </c>
      <c r="AE39" s="1138">
        <f t="shared" si="5"/>
        <v>0</v>
      </c>
      <c r="AF39" s="1139">
        <f t="shared" si="5"/>
        <v>0</v>
      </c>
      <c r="AG39" s="1138" t="s">
        <v>26</v>
      </c>
      <c r="AH39" s="1138">
        <f t="shared" si="6"/>
        <v>0</v>
      </c>
      <c r="AI39" s="1139">
        <f t="shared" si="6"/>
        <v>0</v>
      </c>
      <c r="AJ39" s="1138" t="str">
        <f t="shared" si="7"/>
        <v>답박애란</v>
      </c>
      <c r="AK39" s="1138" t="str">
        <f t="shared" si="3"/>
        <v>답공</v>
      </c>
      <c r="AL39" s="66"/>
      <c r="AM39" s="66"/>
    </row>
    <row r="40" spans="1:39" s="67" customFormat="1" ht="24" customHeight="1" x14ac:dyDescent="0.15">
      <c r="A40" s="348">
        <v>34</v>
      </c>
      <c r="B40" s="222" t="s">
        <v>231</v>
      </c>
      <c r="C40" s="1017">
        <v>848</v>
      </c>
      <c r="D40" s="1016" t="s">
        <v>252</v>
      </c>
      <c r="E40" s="1033">
        <v>199589</v>
      </c>
      <c r="F40" s="1033">
        <v>4509</v>
      </c>
      <c r="G40" s="1028"/>
      <c r="H40" s="1028">
        <v>848</v>
      </c>
      <c r="I40" s="1025" t="s">
        <v>252</v>
      </c>
      <c r="J40" s="1036">
        <v>199589</v>
      </c>
      <c r="K40" s="1036">
        <v>4453</v>
      </c>
      <c r="L40" s="1016" t="s">
        <v>155</v>
      </c>
      <c r="M40" s="1016" t="s">
        <v>188</v>
      </c>
      <c r="N40" s="1025" t="s">
        <v>155</v>
      </c>
      <c r="O40" s="1025" t="s">
        <v>188</v>
      </c>
      <c r="P40" s="203"/>
      <c r="Q40" s="203"/>
      <c r="R40" s="203"/>
      <c r="S40" s="342"/>
      <c r="T40" s="1138" t="s">
        <v>220</v>
      </c>
      <c r="U40" s="1138">
        <f>COUNTIF(D27:D46,"창")</f>
        <v>0</v>
      </c>
      <c r="V40" s="1139">
        <f>COUNTIF(I27:I46,"창")</f>
        <v>0</v>
      </c>
      <c r="W40" s="1138" t="s">
        <v>26</v>
      </c>
      <c r="X40" s="1138">
        <f>SUMIF(D27:D46,"창",F27:F46)</f>
        <v>0</v>
      </c>
      <c r="Y40" s="1139">
        <f>SUMIF(I27:I46,"창",K27:K46)</f>
        <v>0</v>
      </c>
      <c r="Z40" s="1138">
        <f>COUNTIF(AJ27:AJ46,"창국")+COUNTIF(AJ27:AJ46,"창공")</f>
        <v>0</v>
      </c>
      <c r="AA40" s="1139">
        <f>COUNTIF(AK27:AK46,"창국")+COUNTIF(AK27:AK46,"창공")</f>
        <v>0</v>
      </c>
      <c r="AB40" s="1138" t="s">
        <v>26</v>
      </c>
      <c r="AC40" s="1138">
        <f>SUMIF(AJ27:AJ46,"창국",F27:F46)+SUMIF(AJ27:AJ46,"창공",F27:F46)</f>
        <v>0</v>
      </c>
      <c r="AD40" s="1139">
        <f>SUMIF(AK27:AK46,"창국",K27:K46)+SUMIF(AK27:AK46,"창공",K27:K46)</f>
        <v>0</v>
      </c>
      <c r="AE40" s="1138">
        <f t="shared" si="5"/>
        <v>0</v>
      </c>
      <c r="AF40" s="1139">
        <f t="shared" si="5"/>
        <v>0</v>
      </c>
      <c r="AG40" s="1138" t="s">
        <v>26</v>
      </c>
      <c r="AH40" s="1138">
        <f t="shared" si="6"/>
        <v>0</v>
      </c>
      <c r="AI40" s="1139">
        <f t="shared" si="6"/>
        <v>0</v>
      </c>
      <c r="AJ40" s="1138" t="str">
        <f t="shared" si="7"/>
        <v>천국</v>
      </c>
      <c r="AK40" s="1138" t="str">
        <f t="shared" si="3"/>
        <v>천국</v>
      </c>
      <c r="AL40" s="66"/>
      <c r="AM40" s="66"/>
    </row>
    <row r="41" spans="1:39" s="67" customFormat="1" ht="24" customHeight="1" x14ac:dyDescent="0.15">
      <c r="A41" s="348">
        <v>35</v>
      </c>
      <c r="B41" s="222" t="s">
        <v>231</v>
      </c>
      <c r="C41" s="1016" t="s">
        <v>476</v>
      </c>
      <c r="D41" s="1016" t="s">
        <v>340</v>
      </c>
      <c r="E41" s="1033">
        <v>103</v>
      </c>
      <c r="F41" s="1033">
        <v>103</v>
      </c>
      <c r="G41" s="1025"/>
      <c r="H41" s="1025" t="s">
        <v>476</v>
      </c>
      <c r="I41" s="1025" t="s">
        <v>340</v>
      </c>
      <c r="J41" s="1036">
        <v>103</v>
      </c>
      <c r="K41" s="1036">
        <v>103</v>
      </c>
      <c r="L41" s="1016" t="s">
        <v>497</v>
      </c>
      <c r="M41" s="1016" t="s">
        <v>498</v>
      </c>
      <c r="N41" s="1025" t="s">
        <v>664</v>
      </c>
      <c r="O41" s="1025" t="s">
        <v>669</v>
      </c>
      <c r="P41" s="203"/>
      <c r="Q41" s="203"/>
      <c r="R41" s="203"/>
      <c r="S41" s="342"/>
      <c r="T41" s="1138" t="s">
        <v>50</v>
      </c>
      <c r="U41" s="1138">
        <f>COUNTIF(D27:D46,"공")</f>
        <v>0</v>
      </c>
      <c r="V41" s="1139">
        <f>COUNTIF(I27:I46,"공")</f>
        <v>0</v>
      </c>
      <c r="W41" s="1138" t="s">
        <v>26</v>
      </c>
      <c r="X41" s="1138">
        <f>SUMIF(D27:D46,"공",F27:F46)</f>
        <v>0</v>
      </c>
      <c r="Y41" s="1139">
        <f>SUMIF(I27:I46,"공",K27:K46)</f>
        <v>0</v>
      </c>
      <c r="Z41" s="1138">
        <f>COUNTIF(AJ27:AJ46,"공국")+COUNTIF(AJ27:AJ46,"공공")</f>
        <v>0</v>
      </c>
      <c r="AA41" s="1139">
        <f>COUNTIF(AK27:AK46,"공국")+COUNTIF(AK27:AK46,"공공")</f>
        <v>0</v>
      </c>
      <c r="AB41" s="1138" t="s">
        <v>26</v>
      </c>
      <c r="AC41" s="1138">
        <f>SUMIF(AJ27:AJ46,"공국",F27:F46)+SUMIF(AJ27:AJ46,"공공",F27:F46)</f>
        <v>0</v>
      </c>
      <c r="AD41" s="1139">
        <f>SUMIF(AK27:AK46,"공국",K27:K46)+SUMIF(AK27:AK46,"공공",K27:K46)</f>
        <v>0</v>
      </c>
      <c r="AE41" s="1138">
        <f t="shared" si="5"/>
        <v>0</v>
      </c>
      <c r="AF41" s="1139">
        <f t="shared" si="5"/>
        <v>0</v>
      </c>
      <c r="AG41" s="1138" t="s">
        <v>26</v>
      </c>
      <c r="AH41" s="1138">
        <f t="shared" si="6"/>
        <v>0</v>
      </c>
      <c r="AI41" s="1139">
        <f t="shared" si="6"/>
        <v>0</v>
      </c>
      <c r="AJ41" s="1138" t="str">
        <f t="shared" si="7"/>
        <v>목이병조</v>
      </c>
      <c r="AK41" s="1138" t="str">
        <f t="shared" si="3"/>
        <v>목공</v>
      </c>
      <c r="AL41" s="66"/>
      <c r="AM41" s="66"/>
    </row>
    <row r="42" spans="1:39" s="67" customFormat="1" ht="24" customHeight="1" x14ac:dyDescent="0.15">
      <c r="A42" s="348">
        <v>36</v>
      </c>
      <c r="B42" s="222" t="s">
        <v>231</v>
      </c>
      <c r="C42" s="1016" t="s">
        <v>477</v>
      </c>
      <c r="D42" s="1016" t="s">
        <v>27</v>
      </c>
      <c r="E42" s="1033">
        <v>303</v>
      </c>
      <c r="F42" s="1033">
        <v>303</v>
      </c>
      <c r="G42" s="1025"/>
      <c r="H42" s="1025" t="s">
        <v>477</v>
      </c>
      <c r="I42" s="1025" t="s">
        <v>27</v>
      </c>
      <c r="J42" s="1036">
        <v>303</v>
      </c>
      <c r="K42" s="1036">
        <v>303</v>
      </c>
      <c r="L42" s="1016" t="s">
        <v>497</v>
      </c>
      <c r="M42" s="1016" t="s">
        <v>498</v>
      </c>
      <c r="N42" s="1025" t="s">
        <v>660</v>
      </c>
      <c r="O42" s="1025" t="s">
        <v>669</v>
      </c>
      <c r="P42" s="203"/>
      <c r="Q42" s="203"/>
      <c r="R42" s="203"/>
      <c r="S42" s="342"/>
      <c r="T42" s="1142" t="s">
        <v>219</v>
      </c>
      <c r="U42" s="1138">
        <f>COUNTIF(D27:D46,"주")</f>
        <v>0</v>
      </c>
      <c r="V42" s="1139">
        <f>COUNTIF(I27:I46,"주")</f>
        <v>0</v>
      </c>
      <c r="W42" s="1138" t="s">
        <v>26</v>
      </c>
      <c r="X42" s="1138">
        <f>SUMIF(D27:D46,"장",F27:F46)</f>
        <v>0</v>
      </c>
      <c r="Y42" s="1139">
        <f>SUMIF(I27:I46,"장",K27:K46)</f>
        <v>0</v>
      </c>
      <c r="Z42" s="1138">
        <f>COUNTIF(AJ27:AJ46,"장국")+COUNTIF(AJ27:AJ46,"장공")</f>
        <v>0</v>
      </c>
      <c r="AA42" s="1139">
        <f>COUNTIF(AK27:AK46,"장국")+COUNTIF(AK27:AK46,"장공")</f>
        <v>0</v>
      </c>
      <c r="AB42" s="1138" t="s">
        <v>26</v>
      </c>
      <c r="AC42" s="1138">
        <f>SUMIF(AJ27:AJ46,"장국",F27:F46)+SUMIF(AJ27:AJ46,"장공",F27:F46)</f>
        <v>0</v>
      </c>
      <c r="AD42" s="1139">
        <f>SUMIF(AK27:AK46,"장국",K27:K46)+SUMIF(AK27:AK46,"장공",K27:K46)</f>
        <v>0</v>
      </c>
      <c r="AE42" s="1138">
        <f t="shared" si="5"/>
        <v>0</v>
      </c>
      <c r="AF42" s="1139">
        <f t="shared" si="5"/>
        <v>0</v>
      </c>
      <c r="AG42" s="1138" t="s">
        <v>26</v>
      </c>
      <c r="AH42" s="1138">
        <f t="shared" si="6"/>
        <v>0</v>
      </c>
      <c r="AI42" s="1139">
        <f t="shared" si="6"/>
        <v>0</v>
      </c>
      <c r="AJ42" s="1138" t="str">
        <f t="shared" si="7"/>
        <v>전이병조</v>
      </c>
      <c r="AK42" s="1138" t="str">
        <f t="shared" si="3"/>
        <v>전공</v>
      </c>
      <c r="AL42" s="66"/>
      <c r="AM42" s="66"/>
    </row>
    <row r="43" spans="1:39" s="67" customFormat="1" ht="24" customHeight="1" x14ac:dyDescent="0.15">
      <c r="A43" s="348">
        <v>37</v>
      </c>
      <c r="B43" s="222" t="s">
        <v>231</v>
      </c>
      <c r="C43" s="1016" t="s">
        <v>503</v>
      </c>
      <c r="D43" s="1016" t="s">
        <v>27</v>
      </c>
      <c r="E43" s="1033">
        <v>195</v>
      </c>
      <c r="F43" s="1033">
        <v>195</v>
      </c>
      <c r="G43" s="357"/>
      <c r="H43" s="1025" t="s">
        <v>503</v>
      </c>
      <c r="I43" s="1025" t="s">
        <v>27</v>
      </c>
      <c r="J43" s="1036">
        <v>195</v>
      </c>
      <c r="K43" s="1036">
        <v>195</v>
      </c>
      <c r="L43" s="1016" t="s">
        <v>521</v>
      </c>
      <c r="M43" s="1037" t="s">
        <v>539</v>
      </c>
      <c r="N43" s="1025" t="s">
        <v>661</v>
      </c>
      <c r="O43" s="1025" t="s">
        <v>671</v>
      </c>
      <c r="P43" s="203"/>
      <c r="Q43" s="203"/>
      <c r="R43" s="203"/>
      <c r="S43" s="342"/>
      <c r="T43" s="1142" t="s">
        <v>5</v>
      </c>
      <c r="U43" s="1138">
        <f>COUNTIF(D27:D46,"목")</f>
        <v>1</v>
      </c>
      <c r="V43" s="1139">
        <f>COUNTIF(I27:I46,"목")</f>
        <v>1</v>
      </c>
      <c r="W43" s="1138" t="s">
        <v>26</v>
      </c>
      <c r="X43" s="1138">
        <f>SUMIF(D27:D46,"목",F27:F46)</f>
        <v>103</v>
      </c>
      <c r="Y43" s="1139">
        <f>SUMIF(I27:I46,"목",K27:K46)</f>
        <v>103</v>
      </c>
      <c r="Z43" s="1138">
        <f>COUNTIF(AJ27:AJ46,"목국")+COUNTIF(AJ27:AJ46,"목공")</f>
        <v>0</v>
      </c>
      <c r="AA43" s="1139">
        <f>COUNTIF(AK27:AK46,"목국")+COUNTIF(AK27:AK46,"목공")</f>
        <v>1</v>
      </c>
      <c r="AB43" s="1138" t="s">
        <v>26</v>
      </c>
      <c r="AC43" s="1138">
        <f>SUMIF(AJ27:AJ46,"목국",F27:F46)+SUMIF(AJ27:AJ46,"목공",F27:F46)</f>
        <v>0</v>
      </c>
      <c r="AD43" s="1139">
        <f>SUMIF(AK27:AK46,"목국",K27:K46)+SUMIF(AK27:AK46,"목공",K27:K46)</f>
        <v>103</v>
      </c>
      <c r="AE43" s="1138">
        <f t="shared" si="5"/>
        <v>1</v>
      </c>
      <c r="AF43" s="1139">
        <f t="shared" si="5"/>
        <v>0</v>
      </c>
      <c r="AG43" s="1138" t="s">
        <v>26</v>
      </c>
      <c r="AH43" s="1138">
        <f t="shared" si="6"/>
        <v>103</v>
      </c>
      <c r="AI43" s="1139">
        <f t="shared" si="6"/>
        <v>0</v>
      </c>
      <c r="AJ43" s="1138" t="str">
        <f t="shared" si="7"/>
        <v>전장윤선</v>
      </c>
      <c r="AK43" s="1138" t="str">
        <f t="shared" si="3"/>
        <v>전공</v>
      </c>
      <c r="AL43" s="66"/>
      <c r="AM43" s="66"/>
    </row>
    <row r="44" spans="1:39" s="67" customFormat="1" ht="24" customHeight="1" x14ac:dyDescent="0.15">
      <c r="A44" s="348">
        <v>38</v>
      </c>
      <c r="B44" s="222" t="s">
        <v>231</v>
      </c>
      <c r="C44" s="1016" t="s">
        <v>504</v>
      </c>
      <c r="D44" s="1016" t="s">
        <v>27</v>
      </c>
      <c r="E44" s="1033">
        <v>265</v>
      </c>
      <c r="F44" s="1033">
        <v>265</v>
      </c>
      <c r="G44" s="357"/>
      <c r="H44" s="1025" t="s">
        <v>504</v>
      </c>
      <c r="I44" s="1025" t="s">
        <v>27</v>
      </c>
      <c r="J44" s="1036">
        <v>265</v>
      </c>
      <c r="K44" s="1036">
        <v>265</v>
      </c>
      <c r="L44" s="1016" t="s">
        <v>522</v>
      </c>
      <c r="M44" s="1016" t="s">
        <v>523</v>
      </c>
      <c r="N44" s="1025" t="s">
        <v>660</v>
      </c>
      <c r="O44" s="1025" t="s">
        <v>669</v>
      </c>
      <c r="P44" s="203"/>
      <c r="Q44" s="203"/>
      <c r="R44" s="203"/>
      <c r="S44" s="342"/>
      <c r="T44" s="1142"/>
      <c r="U44" s="1142"/>
      <c r="V44" s="1143"/>
      <c r="W44" s="1142"/>
      <c r="X44" s="1142"/>
      <c r="Y44" s="1143"/>
      <c r="Z44" s="1138"/>
      <c r="AA44" s="1139"/>
      <c r="AB44" s="1142"/>
      <c r="AC44" s="1138"/>
      <c r="AD44" s="1139"/>
      <c r="AE44" s="1142"/>
      <c r="AF44" s="1143"/>
      <c r="AG44" s="1142"/>
      <c r="AH44" s="1142"/>
      <c r="AI44" s="1143"/>
      <c r="AJ44" s="1138" t="str">
        <f t="shared" si="7"/>
        <v>전백승보</v>
      </c>
      <c r="AK44" s="1138" t="str">
        <f t="shared" si="3"/>
        <v>전공</v>
      </c>
      <c r="AL44" s="66"/>
      <c r="AM44" s="66"/>
    </row>
    <row r="45" spans="1:39" s="67" customFormat="1" ht="24" customHeight="1" x14ac:dyDescent="0.15">
      <c r="A45" s="348">
        <v>39</v>
      </c>
      <c r="B45" s="222" t="s">
        <v>231</v>
      </c>
      <c r="C45" s="1016" t="s">
        <v>505</v>
      </c>
      <c r="D45" s="1016" t="s">
        <v>28</v>
      </c>
      <c r="E45" s="1033">
        <v>462</v>
      </c>
      <c r="F45" s="1033">
        <v>462</v>
      </c>
      <c r="G45" s="357"/>
      <c r="H45" s="1025" t="s">
        <v>505</v>
      </c>
      <c r="I45" s="1025" t="s">
        <v>28</v>
      </c>
      <c r="J45" s="1036">
        <v>462</v>
      </c>
      <c r="K45" s="1036">
        <v>462</v>
      </c>
      <c r="L45" s="1016" t="s">
        <v>524</v>
      </c>
      <c r="M45" s="1016" t="s">
        <v>525</v>
      </c>
      <c r="N45" s="1025" t="s">
        <v>660</v>
      </c>
      <c r="O45" s="1025" t="s">
        <v>669</v>
      </c>
      <c r="P45" s="203"/>
      <c r="Q45" s="203"/>
      <c r="R45" s="203"/>
      <c r="S45" s="342"/>
      <c r="T45" s="1142"/>
      <c r="U45" s="1142"/>
      <c r="V45" s="1143"/>
      <c r="W45" s="1142"/>
      <c r="X45" s="1142"/>
      <c r="Y45" s="1143"/>
      <c r="Z45" s="1138"/>
      <c r="AA45" s="1139"/>
      <c r="AB45" s="1142"/>
      <c r="AC45" s="1138"/>
      <c r="AD45" s="1139"/>
      <c r="AE45" s="1142"/>
      <c r="AF45" s="1143"/>
      <c r="AG45" s="1142"/>
      <c r="AH45" s="1142"/>
      <c r="AI45" s="1143"/>
      <c r="AJ45" s="1138" t="str">
        <f t="shared" si="7"/>
        <v>답이종용</v>
      </c>
      <c r="AK45" s="1138" t="str">
        <f t="shared" si="3"/>
        <v>답공</v>
      </c>
      <c r="AL45" s="66"/>
      <c r="AM45" s="66"/>
    </row>
    <row r="46" spans="1:39" s="67" customFormat="1" ht="24" customHeight="1" x14ac:dyDescent="0.15">
      <c r="A46" s="348">
        <v>40</v>
      </c>
      <c r="B46" s="222" t="s">
        <v>231</v>
      </c>
      <c r="C46" s="1016" t="s">
        <v>506</v>
      </c>
      <c r="D46" s="1016" t="s">
        <v>28</v>
      </c>
      <c r="E46" s="1033">
        <v>172</v>
      </c>
      <c r="F46" s="1033">
        <v>172</v>
      </c>
      <c r="G46" s="357"/>
      <c r="H46" s="1025" t="s">
        <v>506</v>
      </c>
      <c r="I46" s="1025" t="s">
        <v>28</v>
      </c>
      <c r="J46" s="1036">
        <v>172</v>
      </c>
      <c r="K46" s="1036">
        <v>172</v>
      </c>
      <c r="L46" s="1016" t="s">
        <v>524</v>
      </c>
      <c r="M46" s="1016" t="s">
        <v>525</v>
      </c>
      <c r="N46" s="1025" t="s">
        <v>661</v>
      </c>
      <c r="O46" s="1025" t="s">
        <v>669</v>
      </c>
      <c r="P46" s="203"/>
      <c r="Q46" s="203"/>
      <c r="R46" s="203"/>
      <c r="S46" s="342"/>
      <c r="T46" s="1144" t="s">
        <v>37</v>
      </c>
      <c r="U46" s="1144">
        <f>COUNTIF(D27:D46,"철")</f>
        <v>0</v>
      </c>
      <c r="V46" s="1145">
        <f>COUNTIF(I27:I46,"철")</f>
        <v>0</v>
      </c>
      <c r="W46" s="1144" t="s">
        <v>26</v>
      </c>
      <c r="X46" s="1144">
        <f>SUMIF(D27:D46,"철",F27:F46)</f>
        <v>0</v>
      </c>
      <c r="Y46" s="1145">
        <f>SUMIF(I27:I46,"철",K27:K46)</f>
        <v>0</v>
      </c>
      <c r="Z46" s="1138">
        <f>COUNTIF(AJ27:AJ46,"철국")+COUNTIF(AJ27:AJ46,"철공")</f>
        <v>0</v>
      </c>
      <c r="AA46" s="1139">
        <f>COUNTIF(AK27:AK46,"철국")+COUNTIF(AK27:AK46,"철공")</f>
        <v>0</v>
      </c>
      <c r="AB46" s="1144" t="s">
        <v>26</v>
      </c>
      <c r="AC46" s="1138">
        <f>SUMIF(AJ27:AJ46,"철국",F27:F46)+SUMIF(AJ27:AJ46,"철공",F27:F46)</f>
        <v>0</v>
      </c>
      <c r="AD46" s="1139">
        <f>SUMIF(AK27:AK46,"철국",K27:K46)+SUMIF(AK27:AK46,"철공",K27:K46)</f>
        <v>0</v>
      </c>
      <c r="AE46" s="1144"/>
      <c r="AF46" s="1145"/>
      <c r="AG46" s="1144"/>
      <c r="AH46" s="1144"/>
      <c r="AI46" s="1145"/>
      <c r="AJ46" s="1138" t="str">
        <f t="shared" si="7"/>
        <v>답이종용</v>
      </c>
      <c r="AK46" s="1138" t="str">
        <f t="shared" si="3"/>
        <v>답공</v>
      </c>
      <c r="AL46" s="66"/>
      <c r="AM46" s="66"/>
    </row>
    <row r="47" spans="1:39" s="57" customFormat="1" ht="24" customHeight="1" thickBot="1" x14ac:dyDescent="0.2">
      <c r="A47" s="1146" t="s">
        <v>48</v>
      </c>
      <c r="B47" s="1147"/>
      <c r="C47" s="1147"/>
      <c r="D47" s="1147"/>
      <c r="E47" s="1147"/>
      <c r="F47" s="1148">
        <f>SUM(F27:F46)</f>
        <v>10705</v>
      </c>
      <c r="G47" s="1149"/>
      <c r="H47" s="1149"/>
      <c r="I47" s="1150"/>
      <c r="J47" s="1151"/>
      <c r="K47" s="1152">
        <f>SUM(K27:K46)</f>
        <v>10295</v>
      </c>
      <c r="L47" s="1153"/>
      <c r="M47" s="1153"/>
      <c r="N47" s="1154"/>
      <c r="O47" s="1154"/>
      <c r="P47" s="1153"/>
      <c r="Q47" s="1153"/>
      <c r="R47" s="1153"/>
      <c r="S47" s="1155"/>
      <c r="T47" s="1156" t="s">
        <v>24</v>
      </c>
      <c r="U47" s="1157">
        <f t="shared" ref="U47:AA47" si="8">SUM(U27:U46)</f>
        <v>20</v>
      </c>
      <c r="V47" s="1157">
        <f t="shared" si="8"/>
        <v>20</v>
      </c>
      <c r="W47" s="1157">
        <f t="shared" si="8"/>
        <v>0</v>
      </c>
      <c r="X47" s="1157">
        <f t="shared" si="8"/>
        <v>10705</v>
      </c>
      <c r="Y47" s="1157">
        <f t="shared" si="8"/>
        <v>10295</v>
      </c>
      <c r="Z47" s="1138">
        <f t="shared" si="8"/>
        <v>1</v>
      </c>
      <c r="AA47" s="1139">
        <f t="shared" si="8"/>
        <v>20</v>
      </c>
      <c r="AB47" s="1138" t="s">
        <v>26</v>
      </c>
      <c r="AC47" s="1138">
        <f>SUM(AC27:AC46)</f>
        <v>4509</v>
      </c>
      <c r="AD47" s="1139">
        <f>SUM(AD27:AD46)</f>
        <v>10295</v>
      </c>
      <c r="AE47" s="1157">
        <f>SUM(AE27:AE46)</f>
        <v>19</v>
      </c>
      <c r="AF47" s="1157">
        <f>SUM(AF27:AF46)</f>
        <v>0</v>
      </c>
      <c r="AG47" s="1157" t="s">
        <v>26</v>
      </c>
      <c r="AH47" s="1157">
        <f>SUM(AH27:AH46)</f>
        <v>6196</v>
      </c>
      <c r="AI47" s="1157">
        <f>SUM(AI27:AI46)</f>
        <v>0</v>
      </c>
      <c r="AJ47" s="1157"/>
      <c r="AK47" s="1138" t="str">
        <f t="shared" si="3"/>
        <v/>
      </c>
    </row>
    <row r="48" spans="1:39" s="67" customFormat="1" ht="24.95" customHeight="1" x14ac:dyDescent="0.15">
      <c r="A48" s="368">
        <v>41</v>
      </c>
      <c r="B48" s="318" t="s">
        <v>228</v>
      </c>
      <c r="C48" s="1016" t="s">
        <v>507</v>
      </c>
      <c r="D48" s="1016" t="s">
        <v>28</v>
      </c>
      <c r="E48" s="1033">
        <v>99</v>
      </c>
      <c r="F48" s="1033">
        <v>99</v>
      </c>
      <c r="G48" s="357"/>
      <c r="H48" s="1025" t="s">
        <v>507</v>
      </c>
      <c r="I48" s="1025" t="s">
        <v>28</v>
      </c>
      <c r="J48" s="1036">
        <v>99</v>
      </c>
      <c r="K48" s="1036">
        <v>99</v>
      </c>
      <c r="L48" s="1016" t="s">
        <v>526</v>
      </c>
      <c r="M48" s="1016" t="s">
        <v>527</v>
      </c>
      <c r="N48" s="1025" t="s">
        <v>661</v>
      </c>
      <c r="O48" s="1025" t="s">
        <v>670</v>
      </c>
      <c r="P48" s="1044"/>
      <c r="Q48" s="1044"/>
      <c r="R48" s="1044"/>
      <c r="S48" s="358"/>
      <c r="T48" s="1138" t="s">
        <v>27</v>
      </c>
      <c r="U48" s="1138">
        <f>COUNTIF(D48:D67,"전")</f>
        <v>2</v>
      </c>
      <c r="V48" s="1139">
        <f>COUNTIF(I48:I67,"전")</f>
        <v>2</v>
      </c>
      <c r="W48" s="1138" t="s">
        <v>26</v>
      </c>
      <c r="X48" s="1138">
        <f>SUMIF(D48:D67,"전",F48:F67)</f>
        <v>151</v>
      </c>
      <c r="Y48" s="1139">
        <f>SUMIF(I48:I67,"전",K48:K67)</f>
        <v>151</v>
      </c>
      <c r="Z48" s="1138">
        <f>COUNTIF(AJ48:AJ67,"전국")+COUNTIF(AJ48:AJ67,"전공")</f>
        <v>0</v>
      </c>
      <c r="AA48" s="1139">
        <f>COUNTIF(AK48:AK67,"전국")+COUNTIF(AK48:AK67,"전공")</f>
        <v>2</v>
      </c>
      <c r="AB48" s="1138" t="s">
        <v>26</v>
      </c>
      <c r="AC48" s="1138">
        <f>SUMIF(AJ48:AJ67,"전국",F48:F67)+SUMIF(AJ48:AJ67,"전공",F48:F67)</f>
        <v>0</v>
      </c>
      <c r="AD48" s="1139">
        <f>SUMIF(AK48:AK67,"전국",K48:K67)+SUMIF(AK48:AK67,"전공",K48:K67)</f>
        <v>151</v>
      </c>
      <c r="AE48" s="1138">
        <f t="shared" ref="AE48:AF64" si="9">U48-Z48</f>
        <v>2</v>
      </c>
      <c r="AF48" s="1139">
        <f t="shared" si="9"/>
        <v>0</v>
      </c>
      <c r="AG48" s="1138" t="s">
        <v>26</v>
      </c>
      <c r="AH48" s="1138">
        <f t="shared" ref="AH48:AI64" si="10">X48-AC48</f>
        <v>151</v>
      </c>
      <c r="AI48" s="1139">
        <f t="shared" si="10"/>
        <v>0</v>
      </c>
      <c r="AJ48" s="1138" t="str">
        <f t="shared" ref="AJ48:AJ67" si="11">CONCATENATE(D48,L48)</f>
        <v>답이귀용</v>
      </c>
      <c r="AK48" s="1138" t="str">
        <f t="shared" si="3"/>
        <v>답공</v>
      </c>
    </row>
    <row r="49" spans="1:39" s="67" customFormat="1" ht="24.95" customHeight="1" x14ac:dyDescent="0.15">
      <c r="A49" s="348">
        <v>42</v>
      </c>
      <c r="B49" s="222" t="s">
        <v>231</v>
      </c>
      <c r="C49" s="1016" t="s">
        <v>508</v>
      </c>
      <c r="D49" s="1016" t="s">
        <v>28</v>
      </c>
      <c r="E49" s="1033">
        <v>15</v>
      </c>
      <c r="F49" s="1033">
        <v>15</v>
      </c>
      <c r="G49" s="357"/>
      <c r="H49" s="1025" t="s">
        <v>508</v>
      </c>
      <c r="I49" s="1025" t="s">
        <v>28</v>
      </c>
      <c r="J49" s="1036">
        <v>15</v>
      </c>
      <c r="K49" s="1036">
        <v>15</v>
      </c>
      <c r="L49" s="1016" t="s">
        <v>526</v>
      </c>
      <c r="M49" s="1016" t="s">
        <v>528</v>
      </c>
      <c r="N49" s="1025" t="s">
        <v>660</v>
      </c>
      <c r="O49" s="1025" t="s">
        <v>669</v>
      </c>
      <c r="P49" s="102"/>
      <c r="Q49" s="102"/>
      <c r="R49" s="102"/>
      <c r="S49" s="342"/>
      <c r="T49" s="1138" t="s">
        <v>28</v>
      </c>
      <c r="U49" s="1138">
        <f>COUNTIF(D48:D67,"답")</f>
        <v>13</v>
      </c>
      <c r="V49" s="1139">
        <f>COUNTIF(I48:I67,"답")</f>
        <v>13</v>
      </c>
      <c r="W49" s="1138" t="s">
        <v>26</v>
      </c>
      <c r="X49" s="1138">
        <f>SUMIF(D48:D67,"답",F48:F67)</f>
        <v>5637</v>
      </c>
      <c r="Y49" s="1139">
        <f>SUMIF(I48:I67,"답",K48:K67)</f>
        <v>5637</v>
      </c>
      <c r="Z49" s="1138">
        <f>COUNTIF(AJ48:AJ67,"답국")+COUNTIF(AJ48:AJ67,"답공")</f>
        <v>0</v>
      </c>
      <c r="AA49" s="1139">
        <f>COUNTIF(AK48:AK67,"답국")+COUNTIF(AK48:AK67,"답공")</f>
        <v>13</v>
      </c>
      <c r="AB49" s="1138" t="s">
        <v>26</v>
      </c>
      <c r="AC49" s="1138">
        <f>SUMIF(AJ48:AJ67,"답국",F48:F67)+SUMIF(AJ48:AJ67,"답공",F48:F67)</f>
        <v>0</v>
      </c>
      <c r="AD49" s="1139">
        <f>SUMIF(AK48:AK67,"답국",K48:K67)+SUMIF(AK48:AK67,"답공",K48:K67)</f>
        <v>5637</v>
      </c>
      <c r="AE49" s="1138">
        <f t="shared" si="9"/>
        <v>13</v>
      </c>
      <c r="AF49" s="1139">
        <f t="shared" si="9"/>
        <v>0</v>
      </c>
      <c r="AG49" s="1138" t="s">
        <v>26</v>
      </c>
      <c r="AH49" s="1138">
        <f t="shared" si="10"/>
        <v>5637</v>
      </c>
      <c r="AI49" s="1139">
        <f t="shared" si="10"/>
        <v>0</v>
      </c>
      <c r="AJ49" s="1138" t="str">
        <f t="shared" si="11"/>
        <v>답이귀용</v>
      </c>
      <c r="AK49" s="1138" t="str">
        <f t="shared" si="3"/>
        <v>답공</v>
      </c>
    </row>
    <row r="50" spans="1:39" s="67" customFormat="1" ht="24.95" customHeight="1" x14ac:dyDescent="0.15">
      <c r="A50" s="348">
        <v>43</v>
      </c>
      <c r="B50" s="222" t="s">
        <v>231</v>
      </c>
      <c r="C50" s="1016" t="s">
        <v>509</v>
      </c>
      <c r="D50" s="1016" t="s">
        <v>28</v>
      </c>
      <c r="E50" s="1033">
        <v>151</v>
      </c>
      <c r="F50" s="1033">
        <v>151</v>
      </c>
      <c r="G50" s="357"/>
      <c r="H50" s="1025" t="s">
        <v>509</v>
      </c>
      <c r="I50" s="1025" t="s">
        <v>28</v>
      </c>
      <c r="J50" s="1036">
        <v>151</v>
      </c>
      <c r="K50" s="1036">
        <v>151</v>
      </c>
      <c r="L50" s="1016" t="s">
        <v>529</v>
      </c>
      <c r="M50" s="1016" t="s">
        <v>540</v>
      </c>
      <c r="N50" s="1025" t="s">
        <v>661</v>
      </c>
      <c r="O50" s="1025" t="s">
        <v>669</v>
      </c>
      <c r="P50" s="203"/>
      <c r="Q50" s="203"/>
      <c r="R50" s="203"/>
      <c r="S50" s="342"/>
      <c r="T50" s="1138" t="s">
        <v>44</v>
      </c>
      <c r="U50" s="1138">
        <f>COUNTIF(D48:D67,"임")</f>
        <v>0</v>
      </c>
      <c r="V50" s="1139">
        <f>COUNTIF(I48:I67,"임")</f>
        <v>0</v>
      </c>
      <c r="W50" s="1138" t="s">
        <v>26</v>
      </c>
      <c r="X50" s="1138">
        <f>SUMIF(D48:D67,"임",F48:F67)</f>
        <v>0</v>
      </c>
      <c r="Y50" s="1139">
        <f>SUMIF(I48:I67,"임",K48:K67)</f>
        <v>0</v>
      </c>
      <c r="Z50" s="1138">
        <f>COUNTIF(AJ48:AJ67,"임국")+COUNTIF(AJ48:AJ67,"임공")</f>
        <v>0</v>
      </c>
      <c r="AA50" s="1139">
        <f>COUNTIF(AK48:AK67,"임국")+COUNTIF(AK48:AK67,"임공")</f>
        <v>0</v>
      </c>
      <c r="AB50" s="1138" t="s">
        <v>26</v>
      </c>
      <c r="AC50" s="1138">
        <f>SUMIF(AJ48:AJ67,"임국",F48:F67)+SUMIF(AJ48:AJ67,"임공",F48:F67)</f>
        <v>0</v>
      </c>
      <c r="AD50" s="1139">
        <f>SUMIF(AK48:AK67,"임국",K48:K67)+SUMIF(AK48:AK67,"임공",K48:K67)</f>
        <v>0</v>
      </c>
      <c r="AE50" s="1138">
        <f t="shared" si="9"/>
        <v>0</v>
      </c>
      <c r="AF50" s="1139">
        <f t="shared" si="9"/>
        <v>0</v>
      </c>
      <c r="AG50" s="1138" t="s">
        <v>26</v>
      </c>
      <c r="AH50" s="1138">
        <f t="shared" si="10"/>
        <v>0</v>
      </c>
      <c r="AI50" s="1139">
        <f t="shared" si="10"/>
        <v>0</v>
      </c>
      <c r="AJ50" s="1138" t="str">
        <f t="shared" si="11"/>
        <v>답이병헌</v>
      </c>
      <c r="AK50" s="1138" t="str">
        <f t="shared" si="3"/>
        <v>답공</v>
      </c>
      <c r="AL50" s="66"/>
      <c r="AM50" s="66"/>
    </row>
    <row r="51" spans="1:39" s="67" customFormat="1" ht="24.95" customHeight="1" x14ac:dyDescent="0.15">
      <c r="A51" s="348">
        <v>44</v>
      </c>
      <c r="B51" s="222" t="s">
        <v>231</v>
      </c>
      <c r="C51" s="1016" t="s">
        <v>510</v>
      </c>
      <c r="D51" s="1016" t="s">
        <v>154</v>
      </c>
      <c r="E51" s="1033">
        <v>35</v>
      </c>
      <c r="F51" s="1033">
        <v>35</v>
      </c>
      <c r="G51" s="357"/>
      <c r="H51" s="1025" t="s">
        <v>510</v>
      </c>
      <c r="I51" s="1025" t="s">
        <v>154</v>
      </c>
      <c r="J51" s="1036">
        <v>35</v>
      </c>
      <c r="K51" s="1036">
        <v>35</v>
      </c>
      <c r="L51" s="1016" t="s">
        <v>155</v>
      </c>
      <c r="M51" s="1016" t="s">
        <v>188</v>
      </c>
      <c r="N51" s="1025" t="s">
        <v>155</v>
      </c>
      <c r="O51" s="1025" t="s">
        <v>188</v>
      </c>
      <c r="P51" s="102"/>
      <c r="Q51" s="102"/>
      <c r="R51" s="102"/>
      <c r="S51" s="342"/>
      <c r="T51" s="1138" t="s">
        <v>45</v>
      </c>
      <c r="U51" s="1138">
        <f>COUNTIF(D48:D67,"대")</f>
        <v>0</v>
      </c>
      <c r="V51" s="1139">
        <f>COUNTIF(I48:I67,"대")</f>
        <v>0</v>
      </c>
      <c r="W51" s="1138" t="s">
        <v>26</v>
      </c>
      <c r="X51" s="1138">
        <f>SUMIF(D48:D67,"대",F48:F67)</f>
        <v>0</v>
      </c>
      <c r="Y51" s="1139">
        <f>SUMIF(I48:I67,"대",K48:K67)</f>
        <v>0</v>
      </c>
      <c r="Z51" s="1138">
        <f>COUNTIF(AJ48:AJ67,"대국")+COUNTIF(AJ48:AJ67,"대공")</f>
        <v>0</v>
      </c>
      <c r="AA51" s="1139">
        <f>COUNTIF(AK48:AK67,"대국")+COUNTIF(AK48:AK67,"대공")</f>
        <v>0</v>
      </c>
      <c r="AB51" s="1138" t="s">
        <v>26</v>
      </c>
      <c r="AC51" s="1138">
        <f>SUMIF(AJ48:AJ67,"대국",F48:F67)+SUMIF(AJ48:AJ67,"대공",F48:F67)</f>
        <v>0</v>
      </c>
      <c r="AD51" s="1139">
        <f>SUMIF(AK48:AK67,"대국",K48:K67)+SUMIF(AK48:AK67,"대공",K48:K67)</f>
        <v>0</v>
      </c>
      <c r="AE51" s="1138">
        <f t="shared" si="9"/>
        <v>0</v>
      </c>
      <c r="AF51" s="1139">
        <f t="shared" si="9"/>
        <v>0</v>
      </c>
      <c r="AG51" s="1138" t="s">
        <v>26</v>
      </c>
      <c r="AH51" s="1138">
        <f t="shared" si="10"/>
        <v>0</v>
      </c>
      <c r="AI51" s="1139">
        <f t="shared" si="10"/>
        <v>0</v>
      </c>
      <c r="AJ51" s="1138" t="str">
        <f t="shared" si="11"/>
        <v>도국</v>
      </c>
      <c r="AK51" s="1138" t="str">
        <f t="shared" si="3"/>
        <v>도국</v>
      </c>
      <c r="AL51" s="66"/>
      <c r="AM51" s="66"/>
    </row>
    <row r="52" spans="1:39" s="67" customFormat="1" ht="24.95" customHeight="1" x14ac:dyDescent="0.15">
      <c r="A52" s="348">
        <v>45</v>
      </c>
      <c r="B52" s="222" t="s">
        <v>231</v>
      </c>
      <c r="C52" s="1016" t="s">
        <v>511</v>
      </c>
      <c r="D52" s="1016" t="s">
        <v>340</v>
      </c>
      <c r="E52" s="1033">
        <v>104</v>
      </c>
      <c r="F52" s="1033">
        <v>104</v>
      </c>
      <c r="G52" s="357"/>
      <c r="H52" s="1025" t="s">
        <v>511</v>
      </c>
      <c r="I52" s="1025" t="s">
        <v>340</v>
      </c>
      <c r="J52" s="1036">
        <v>104</v>
      </c>
      <c r="K52" s="1036">
        <v>104</v>
      </c>
      <c r="L52" s="1016" t="s">
        <v>530</v>
      </c>
      <c r="M52" s="1016" t="s">
        <v>531</v>
      </c>
      <c r="N52" s="1025" t="s">
        <v>661</v>
      </c>
      <c r="O52" s="1025" t="s">
        <v>669</v>
      </c>
      <c r="P52" s="203"/>
      <c r="Q52" s="203"/>
      <c r="R52" s="203"/>
      <c r="S52" s="342"/>
      <c r="T52" s="1138" t="s">
        <v>31</v>
      </c>
      <c r="U52" s="1138">
        <f>COUNTIF(D48:D67,"도")</f>
        <v>1</v>
      </c>
      <c r="V52" s="1139">
        <f>COUNTIF(I48:I67,"도")</f>
        <v>1</v>
      </c>
      <c r="W52" s="1138" t="s">
        <v>26</v>
      </c>
      <c r="X52" s="1138">
        <f>SUMIF(D48:D67,"도",F48:F67)</f>
        <v>35</v>
      </c>
      <c r="Y52" s="1139">
        <f>SUMIF(I48:I67,"도",K48:K67)</f>
        <v>35</v>
      </c>
      <c r="Z52" s="1138">
        <f>COUNTIF(AJ48:AJ67,"도국")+COUNTIF(AJ48:AJ67,"도공")</f>
        <v>1</v>
      </c>
      <c r="AA52" s="1139">
        <f>COUNTIF(AK48:AK67,"도국")+COUNTIF(AK48:AK67,"도공")</f>
        <v>1</v>
      </c>
      <c r="AB52" s="1138" t="s">
        <v>26</v>
      </c>
      <c r="AC52" s="1138">
        <f>SUMIF(AJ48:AJ67,"도국",F48:F67)+SUMIF(AJ48:AJ67,"도공",F48:F67)</f>
        <v>35</v>
      </c>
      <c r="AD52" s="1139">
        <f>SUMIF(AK48:AK67,"도국",K48:K67)+SUMIF(AK48:AK67,"도공",K48:K67)</f>
        <v>35</v>
      </c>
      <c r="AE52" s="1138">
        <f t="shared" si="9"/>
        <v>0</v>
      </c>
      <c r="AF52" s="1139">
        <f t="shared" si="9"/>
        <v>0</v>
      </c>
      <c r="AG52" s="1138" t="s">
        <v>26</v>
      </c>
      <c r="AH52" s="1138">
        <f t="shared" si="10"/>
        <v>0</v>
      </c>
      <c r="AI52" s="1139">
        <f t="shared" si="10"/>
        <v>0</v>
      </c>
      <c r="AJ52" s="1138" t="str">
        <f t="shared" si="11"/>
        <v>목최대식</v>
      </c>
      <c r="AK52" s="1138" t="str">
        <f t="shared" si="3"/>
        <v>목공</v>
      </c>
      <c r="AL52" s="66"/>
      <c r="AM52" s="66"/>
    </row>
    <row r="53" spans="1:39" s="67" customFormat="1" ht="24.95" customHeight="1" x14ac:dyDescent="0.15">
      <c r="A53" s="348">
        <v>46</v>
      </c>
      <c r="B53" s="222" t="s">
        <v>231</v>
      </c>
      <c r="C53" s="1016" t="s">
        <v>512</v>
      </c>
      <c r="D53" s="1016" t="s">
        <v>28</v>
      </c>
      <c r="E53" s="1033">
        <v>239</v>
      </c>
      <c r="F53" s="1033">
        <v>239</v>
      </c>
      <c r="G53" s="357"/>
      <c r="H53" s="1025" t="s">
        <v>512</v>
      </c>
      <c r="I53" s="1025" t="s">
        <v>28</v>
      </c>
      <c r="J53" s="1036">
        <v>239</v>
      </c>
      <c r="K53" s="1036">
        <v>239</v>
      </c>
      <c r="L53" s="1016" t="s">
        <v>532</v>
      </c>
      <c r="M53" s="1016" t="s">
        <v>533</v>
      </c>
      <c r="N53" s="1025" t="s">
        <v>660</v>
      </c>
      <c r="O53" s="1025" t="s">
        <v>669</v>
      </c>
      <c r="P53" s="102"/>
      <c r="Q53" s="102"/>
      <c r="R53" s="102"/>
      <c r="S53" s="342"/>
      <c r="T53" s="1138" t="s">
        <v>32</v>
      </c>
      <c r="U53" s="1140">
        <f>COUNTIF(D48:D67,"천")</f>
        <v>3</v>
      </c>
      <c r="V53" s="1141">
        <f>COUNTIF(I48:I67,"천")</f>
        <v>3</v>
      </c>
      <c r="W53" s="1138" t="s">
        <v>26</v>
      </c>
      <c r="X53" s="1138">
        <f>SUMIF(D48:D67,"천",F48:F67)</f>
        <v>888</v>
      </c>
      <c r="Y53" s="1139">
        <f>SUMIF(I48:I67,"천",K48:K67)</f>
        <v>888</v>
      </c>
      <c r="Z53" s="1138">
        <f>COUNTIF(AJ48:AJ67,"천국")+COUNTIF(AJ48:AJ67,"천공")</f>
        <v>3</v>
      </c>
      <c r="AA53" s="1139">
        <f>COUNTIF(AK48:AK67,"천국")+COUNTIF(AK48:AK67,"천공")</f>
        <v>3</v>
      </c>
      <c r="AB53" s="1138" t="s">
        <v>26</v>
      </c>
      <c r="AC53" s="1138">
        <f>SUMIF(AJ48:AJ67,"천국",F48:F67)+SUMIF(AJ48:AJ67,"천공",F48:F67)</f>
        <v>888</v>
      </c>
      <c r="AD53" s="1139">
        <f>SUMIF(AK48:AK67,"천국",K48:K67)+SUMIF(AK48:AK67,"천공",K48:K67)</f>
        <v>888</v>
      </c>
      <c r="AE53" s="1138">
        <f t="shared" si="9"/>
        <v>0</v>
      </c>
      <c r="AF53" s="1139">
        <f t="shared" si="9"/>
        <v>0</v>
      </c>
      <c r="AG53" s="1138" t="s">
        <v>26</v>
      </c>
      <c r="AH53" s="1138">
        <f t="shared" si="10"/>
        <v>0</v>
      </c>
      <c r="AI53" s="1139">
        <f t="shared" si="10"/>
        <v>0</v>
      </c>
      <c r="AJ53" s="1138" t="str">
        <f t="shared" si="11"/>
        <v>답이병용</v>
      </c>
      <c r="AK53" s="1138" t="str">
        <f t="shared" si="3"/>
        <v>답공</v>
      </c>
      <c r="AL53" s="66"/>
      <c r="AM53" s="66"/>
    </row>
    <row r="54" spans="1:39" s="67" customFormat="1" ht="24.95" customHeight="1" x14ac:dyDescent="0.15">
      <c r="A54" s="160">
        <v>47</v>
      </c>
      <c r="B54" s="222" t="s">
        <v>231</v>
      </c>
      <c r="C54" s="1016" t="s">
        <v>513</v>
      </c>
      <c r="D54" s="1016" t="s">
        <v>28</v>
      </c>
      <c r="E54" s="1033">
        <v>915</v>
      </c>
      <c r="F54" s="1033">
        <v>915</v>
      </c>
      <c r="G54" s="357"/>
      <c r="H54" s="1025" t="s">
        <v>513</v>
      </c>
      <c r="I54" s="1025" t="s">
        <v>28</v>
      </c>
      <c r="J54" s="1036">
        <v>915</v>
      </c>
      <c r="K54" s="1036">
        <v>915</v>
      </c>
      <c r="L54" s="1016" t="s">
        <v>532</v>
      </c>
      <c r="M54" s="1016" t="s">
        <v>533</v>
      </c>
      <c r="N54" s="1025" t="s">
        <v>661</v>
      </c>
      <c r="O54" s="1025" t="s">
        <v>669</v>
      </c>
      <c r="P54" s="203"/>
      <c r="Q54" s="203"/>
      <c r="R54" s="203"/>
      <c r="S54" s="342"/>
      <c r="T54" s="1138" t="s">
        <v>33</v>
      </c>
      <c r="U54" s="1138">
        <f>COUNTIF(D48:D67,"구")</f>
        <v>0</v>
      </c>
      <c r="V54" s="1139">
        <f>COUNTIF(I48:I67,"구")</f>
        <v>0</v>
      </c>
      <c r="W54" s="1138" t="s">
        <v>26</v>
      </c>
      <c r="X54" s="1138">
        <f>SUMIF(D48:D67,"구",F48:F67)</f>
        <v>0</v>
      </c>
      <c r="Y54" s="1139">
        <f>SUMIF(I48:I67,"구",K48:K67)</f>
        <v>0</v>
      </c>
      <c r="Z54" s="1138">
        <f>COUNTIF(AJ48:AJ67,"구국")+COUNTIF(AJ48:AJ67,"구공")</f>
        <v>0</v>
      </c>
      <c r="AA54" s="1139">
        <f>COUNTIF(AK48:AK67,"구국")+COUNTIF(AK48:AK67,"구공")</f>
        <v>0</v>
      </c>
      <c r="AB54" s="1138" t="s">
        <v>26</v>
      </c>
      <c r="AC54" s="1138">
        <f>SUMIF(AJ48:AJ67,"구국",F48:F67)+SUMIF(AJ48:AJ67,"구공",F48:F67)</f>
        <v>0</v>
      </c>
      <c r="AD54" s="1139">
        <f>SUMIF(AK48:AK67,"구국",K48:K67)+SUMIF(AK48:AK67,"구공",K48:K67)</f>
        <v>0</v>
      </c>
      <c r="AE54" s="1138">
        <f t="shared" si="9"/>
        <v>0</v>
      </c>
      <c r="AF54" s="1139">
        <f t="shared" si="9"/>
        <v>0</v>
      </c>
      <c r="AG54" s="1138" t="s">
        <v>26</v>
      </c>
      <c r="AH54" s="1138">
        <f t="shared" si="10"/>
        <v>0</v>
      </c>
      <c r="AI54" s="1139">
        <f t="shared" si="10"/>
        <v>0</v>
      </c>
      <c r="AJ54" s="1138" t="str">
        <f t="shared" si="11"/>
        <v>답이병용</v>
      </c>
      <c r="AK54" s="1138" t="str">
        <f t="shared" si="3"/>
        <v>답공</v>
      </c>
      <c r="AL54" s="66"/>
      <c r="AM54" s="66"/>
    </row>
    <row r="55" spans="1:39" s="67" customFormat="1" ht="24.95" customHeight="1" x14ac:dyDescent="0.15">
      <c r="A55" s="160">
        <v>48</v>
      </c>
      <c r="B55" s="222" t="s">
        <v>231</v>
      </c>
      <c r="C55" s="1016" t="s">
        <v>514</v>
      </c>
      <c r="D55" s="1016" t="s">
        <v>28</v>
      </c>
      <c r="E55" s="1033">
        <v>7</v>
      </c>
      <c r="F55" s="1033">
        <v>7</v>
      </c>
      <c r="G55" s="357"/>
      <c r="H55" s="1025" t="s">
        <v>514</v>
      </c>
      <c r="I55" s="1025" t="s">
        <v>28</v>
      </c>
      <c r="J55" s="1036">
        <v>7</v>
      </c>
      <c r="K55" s="1036">
        <v>7</v>
      </c>
      <c r="L55" s="1016" t="s">
        <v>532</v>
      </c>
      <c r="M55" s="1016" t="s">
        <v>534</v>
      </c>
      <c r="N55" s="1025" t="s">
        <v>664</v>
      </c>
      <c r="O55" s="1025" t="s">
        <v>670</v>
      </c>
      <c r="P55" s="203"/>
      <c r="Q55" s="203"/>
      <c r="R55" s="203"/>
      <c r="S55" s="342"/>
      <c r="T55" s="1138" t="s">
        <v>34</v>
      </c>
      <c r="U55" s="1138">
        <f>COUNTIF(D48:D67,"제")</f>
        <v>0</v>
      </c>
      <c r="V55" s="1139">
        <f>COUNTIF(I48:I67,"제")</f>
        <v>0</v>
      </c>
      <c r="W55" s="1138" t="s">
        <v>26</v>
      </c>
      <c r="X55" s="1138">
        <f>SUMIF(D48:D67,"제",F48:F67)</f>
        <v>0</v>
      </c>
      <c r="Y55" s="1139">
        <f>SUMIF(I48:I67,"제",K48:K67)</f>
        <v>0</v>
      </c>
      <c r="Z55" s="1138">
        <f>COUNTIF(AJ48:AJ67,"제국")+COUNTIF(AJ48:AJ67,"제공")</f>
        <v>0</v>
      </c>
      <c r="AA55" s="1139">
        <f>COUNTIF(AK48:AK67,"제국")+COUNTIF(AK48:AK67,"제공")</f>
        <v>0</v>
      </c>
      <c r="AB55" s="1138" t="s">
        <v>26</v>
      </c>
      <c r="AC55" s="1138">
        <f>SUMIF(AJ48:AJ67,"제국",F48:F67)+SUMIF(AJ48:AJ67,"제공",F48:F67)</f>
        <v>0</v>
      </c>
      <c r="AD55" s="1139">
        <f>SUMIF(AK48:AK67,"제국",K48:K67)+SUMIF(AK48:AK67,"제공",K48:K67)</f>
        <v>0</v>
      </c>
      <c r="AE55" s="1138">
        <f t="shared" si="9"/>
        <v>0</v>
      </c>
      <c r="AF55" s="1139">
        <f t="shared" si="9"/>
        <v>0</v>
      </c>
      <c r="AG55" s="1138" t="s">
        <v>26</v>
      </c>
      <c r="AH55" s="1138">
        <f t="shared" si="10"/>
        <v>0</v>
      </c>
      <c r="AI55" s="1139">
        <f t="shared" si="10"/>
        <v>0</v>
      </c>
      <c r="AJ55" s="1138" t="str">
        <f t="shared" si="11"/>
        <v>답이병용</v>
      </c>
      <c r="AK55" s="1138" t="str">
        <f t="shared" si="3"/>
        <v>답공</v>
      </c>
      <c r="AL55" s="66"/>
      <c r="AM55" s="66"/>
    </row>
    <row r="56" spans="1:39" s="67" customFormat="1" ht="24.95" customHeight="1" x14ac:dyDescent="0.15">
      <c r="A56" s="160">
        <v>49</v>
      </c>
      <c r="B56" s="222" t="s">
        <v>231</v>
      </c>
      <c r="C56" s="1016" t="s">
        <v>515</v>
      </c>
      <c r="D56" s="1016" t="s">
        <v>28</v>
      </c>
      <c r="E56" s="1033">
        <v>1032</v>
      </c>
      <c r="F56" s="1033">
        <v>1032</v>
      </c>
      <c r="G56" s="357"/>
      <c r="H56" s="1025" t="s">
        <v>515</v>
      </c>
      <c r="I56" s="1025" t="s">
        <v>28</v>
      </c>
      <c r="J56" s="1036">
        <v>1032</v>
      </c>
      <c r="K56" s="1036">
        <v>1032</v>
      </c>
      <c r="L56" s="1016" t="s">
        <v>535</v>
      </c>
      <c r="M56" s="1016" t="s">
        <v>536</v>
      </c>
      <c r="N56" s="1025" t="s">
        <v>664</v>
      </c>
      <c r="O56" s="1025" t="s">
        <v>670</v>
      </c>
      <c r="P56" s="207"/>
      <c r="Q56" s="207"/>
      <c r="R56" s="207"/>
      <c r="S56" s="342"/>
      <c r="T56" s="1138" t="s">
        <v>46</v>
      </c>
      <c r="U56" s="1138">
        <f>COUNTIF(D48:D67,"유")</f>
        <v>0</v>
      </c>
      <c r="V56" s="1139">
        <f>COUNTIF(I48:I67,"유")</f>
        <v>0</v>
      </c>
      <c r="W56" s="1138" t="s">
        <v>26</v>
      </c>
      <c r="X56" s="1138">
        <f>SUMIF(D48:D67,"유",F48:F67)</f>
        <v>0</v>
      </c>
      <c r="Y56" s="1139">
        <f>SUMIF(I48:I67,"유",K48:K67)</f>
        <v>0</v>
      </c>
      <c r="Z56" s="1138">
        <f>COUNTIF(AJ48:AJ67,"유국")+COUNTIF(AJ48:AJ67,"유공")</f>
        <v>0</v>
      </c>
      <c r="AA56" s="1139">
        <f>COUNTIF(AK48:AK67,"유국")+COUNTIF(AK48:AK67,"유공")</f>
        <v>0</v>
      </c>
      <c r="AB56" s="1138" t="s">
        <v>26</v>
      </c>
      <c r="AC56" s="1138">
        <f>SUMIF(AJ48:AJ67,"유국",F48:F67)+SUMIF(AJ48:AJ67,"유공",F48:F67)</f>
        <v>0</v>
      </c>
      <c r="AD56" s="1139">
        <f>SUMIF(AK48:AK67,"유국",K48:K67)+SUMIF(AK48:AK67,"유공",K48:K67)</f>
        <v>0</v>
      </c>
      <c r="AE56" s="1138">
        <f t="shared" si="9"/>
        <v>0</v>
      </c>
      <c r="AF56" s="1139">
        <f t="shared" si="9"/>
        <v>0</v>
      </c>
      <c r="AG56" s="1138" t="s">
        <v>26</v>
      </c>
      <c r="AH56" s="1138">
        <f t="shared" si="10"/>
        <v>0</v>
      </c>
      <c r="AI56" s="1139">
        <f t="shared" si="10"/>
        <v>0</v>
      </c>
      <c r="AJ56" s="1138" t="str">
        <f t="shared" si="11"/>
        <v>답이상룡</v>
      </c>
      <c r="AK56" s="1138" t="str">
        <f t="shared" si="3"/>
        <v>답공</v>
      </c>
      <c r="AL56" s="66"/>
      <c r="AM56" s="66"/>
    </row>
    <row r="57" spans="1:39" s="67" customFormat="1" ht="24.95" customHeight="1" x14ac:dyDescent="0.15">
      <c r="A57" s="160">
        <v>50</v>
      </c>
      <c r="B57" s="222" t="s">
        <v>231</v>
      </c>
      <c r="C57" s="1017">
        <v>551</v>
      </c>
      <c r="D57" s="1016" t="s">
        <v>28</v>
      </c>
      <c r="E57" s="1033">
        <v>215</v>
      </c>
      <c r="F57" s="1033">
        <v>215</v>
      </c>
      <c r="G57" s="357"/>
      <c r="H57" s="1028">
        <v>551</v>
      </c>
      <c r="I57" s="1025" t="s">
        <v>28</v>
      </c>
      <c r="J57" s="1036">
        <v>215</v>
      </c>
      <c r="K57" s="1036">
        <v>215</v>
      </c>
      <c r="L57" s="1016" t="s">
        <v>535</v>
      </c>
      <c r="M57" s="1016" t="s">
        <v>536</v>
      </c>
      <c r="N57" s="1025" t="s">
        <v>660</v>
      </c>
      <c r="O57" s="1025" t="s">
        <v>669</v>
      </c>
      <c r="P57" s="203"/>
      <c r="Q57" s="203"/>
      <c r="R57" s="203"/>
      <c r="S57" s="342"/>
      <c r="T57" s="1138" t="s">
        <v>47</v>
      </c>
      <c r="U57" s="1138">
        <f>COUNTIF(D48:D67,"과")</f>
        <v>0</v>
      </c>
      <c r="V57" s="1139">
        <f>COUNTIF(I48:I67,"과")</f>
        <v>0</v>
      </c>
      <c r="W57" s="1138" t="s">
        <v>26</v>
      </c>
      <c r="X57" s="1138">
        <f>SUMIF(D48:D67,"과",F48:F67)</f>
        <v>0</v>
      </c>
      <c r="Y57" s="1139">
        <f>SUMIF(I48:I67,"과",K48:K67)</f>
        <v>0</v>
      </c>
      <c r="Z57" s="1138">
        <f>COUNTIF(AJ48:AJ67,"과국")+COUNTIF(AJ48:AJ67,"과공")</f>
        <v>0</v>
      </c>
      <c r="AA57" s="1139">
        <f>COUNTIF(AK48:AK67,"과국")+COUNTIF(AK48:AK67,"과공")</f>
        <v>0</v>
      </c>
      <c r="AB57" s="1138" t="s">
        <v>26</v>
      </c>
      <c r="AC57" s="1138">
        <f>SUMIF(AJ48:AJ67,"과국",F48:F67)+SUMIF(AJ48:AJ67,"과공",F48:F67)</f>
        <v>0</v>
      </c>
      <c r="AD57" s="1139">
        <f>SUMIF(AK48:AK67,"과국",K48:K67)+SUMIF(AK48:AK67,"과공",K48:K67)</f>
        <v>0</v>
      </c>
      <c r="AE57" s="1138">
        <f t="shared" si="9"/>
        <v>0</v>
      </c>
      <c r="AF57" s="1139">
        <f t="shared" si="9"/>
        <v>0</v>
      </c>
      <c r="AG57" s="1138" t="s">
        <v>26</v>
      </c>
      <c r="AH57" s="1138">
        <f t="shared" si="10"/>
        <v>0</v>
      </c>
      <c r="AI57" s="1139">
        <f t="shared" si="10"/>
        <v>0</v>
      </c>
      <c r="AJ57" s="1138" t="str">
        <f t="shared" si="11"/>
        <v>답이상룡</v>
      </c>
      <c r="AK57" s="1138" t="str">
        <f t="shared" si="3"/>
        <v>답공</v>
      </c>
      <c r="AL57" s="66"/>
      <c r="AM57" s="66"/>
    </row>
    <row r="58" spans="1:39" s="67" customFormat="1" ht="24.95" customHeight="1" x14ac:dyDescent="0.15">
      <c r="A58" s="160">
        <v>51</v>
      </c>
      <c r="B58" s="222" t="s">
        <v>231</v>
      </c>
      <c r="C58" s="1016" t="s">
        <v>516</v>
      </c>
      <c r="D58" s="1016" t="s">
        <v>27</v>
      </c>
      <c r="E58" s="1033">
        <v>71</v>
      </c>
      <c r="F58" s="1033">
        <v>71</v>
      </c>
      <c r="G58" s="357"/>
      <c r="H58" s="1025" t="s">
        <v>516</v>
      </c>
      <c r="I58" s="1025" t="s">
        <v>27</v>
      </c>
      <c r="J58" s="1036">
        <v>71</v>
      </c>
      <c r="K58" s="1036">
        <v>71</v>
      </c>
      <c r="L58" s="1016" t="s">
        <v>537</v>
      </c>
      <c r="M58" s="1016" t="s">
        <v>541</v>
      </c>
      <c r="N58" s="1025" t="s">
        <v>664</v>
      </c>
      <c r="O58" s="1025" t="s">
        <v>669</v>
      </c>
      <c r="P58" s="102"/>
      <c r="Q58" s="102"/>
      <c r="R58" s="102"/>
      <c r="S58" s="342"/>
      <c r="T58" s="1138" t="s">
        <v>36</v>
      </c>
      <c r="U58" s="1138">
        <f>COUNTIF(D48:D67,"묘")</f>
        <v>0</v>
      </c>
      <c r="V58" s="1139">
        <f>COUNTIF(I48:I67,"묘")</f>
        <v>0</v>
      </c>
      <c r="W58" s="1138" t="s">
        <v>26</v>
      </c>
      <c r="X58" s="1138">
        <f>SUMIF(D48:D67,"묘",F48:F67)</f>
        <v>0</v>
      </c>
      <c r="Y58" s="1139">
        <f>SUMIF(I48:I67,"묘",K48:K67)</f>
        <v>0</v>
      </c>
      <c r="Z58" s="1138">
        <f>COUNTIF(AJ48:AJ67,"묘국")+COUNTIF(AJ48:AJ67,"묘공")</f>
        <v>0</v>
      </c>
      <c r="AA58" s="1139">
        <f>COUNTIF(AK48:AK67,"묘국")+COUNTIF(AK48:AK67,"묘공")</f>
        <v>0</v>
      </c>
      <c r="AB58" s="1138" t="s">
        <v>26</v>
      </c>
      <c r="AC58" s="1138">
        <f>SUMIF(AJ48:AJ67,"묘국",F48:F67)+SUMIF(AJ48:AJ67,"묘공",F48:F67)</f>
        <v>0</v>
      </c>
      <c r="AD58" s="1139">
        <f>SUMIF(AK48:AK67,"묘국",K48:K67)+SUMIF(AK48:AK67,"묘공",K48:K67)</f>
        <v>0</v>
      </c>
      <c r="AE58" s="1138">
        <f t="shared" si="9"/>
        <v>0</v>
      </c>
      <c r="AF58" s="1139">
        <f t="shared" si="9"/>
        <v>0</v>
      </c>
      <c r="AG58" s="1138" t="s">
        <v>26</v>
      </c>
      <c r="AH58" s="1138">
        <f t="shared" si="10"/>
        <v>0</v>
      </c>
      <c r="AI58" s="1139">
        <f t="shared" si="10"/>
        <v>0</v>
      </c>
      <c r="AJ58" s="1138" t="str">
        <f t="shared" si="11"/>
        <v>전유팔무</v>
      </c>
      <c r="AK58" s="1138" t="str">
        <f t="shared" si="3"/>
        <v>전공</v>
      </c>
      <c r="AL58" s="66"/>
      <c r="AM58" s="66"/>
    </row>
    <row r="59" spans="1:39" s="67" customFormat="1" ht="24.95" customHeight="1" x14ac:dyDescent="0.15">
      <c r="A59" s="160">
        <v>52</v>
      </c>
      <c r="B59" s="222" t="s">
        <v>231</v>
      </c>
      <c r="C59" s="1016" t="s">
        <v>517</v>
      </c>
      <c r="D59" s="1016" t="s">
        <v>28</v>
      </c>
      <c r="E59" s="1033">
        <v>20</v>
      </c>
      <c r="F59" s="1033">
        <v>20</v>
      </c>
      <c r="G59" s="357"/>
      <c r="H59" s="1025" t="s">
        <v>517</v>
      </c>
      <c r="I59" s="1025" t="s">
        <v>28</v>
      </c>
      <c r="J59" s="1036">
        <v>20</v>
      </c>
      <c r="K59" s="1036">
        <v>20</v>
      </c>
      <c r="L59" s="1016" t="s">
        <v>532</v>
      </c>
      <c r="M59" s="1016" t="s">
        <v>538</v>
      </c>
      <c r="N59" s="1025" t="s">
        <v>664</v>
      </c>
      <c r="O59" s="1025" t="s">
        <v>669</v>
      </c>
      <c r="P59" s="102"/>
      <c r="Q59" s="102"/>
      <c r="R59" s="102"/>
      <c r="S59" s="342"/>
      <c r="T59" s="1138" t="s">
        <v>39</v>
      </c>
      <c r="U59" s="1138">
        <f>COUNTIF(D48:D67,"수")</f>
        <v>0</v>
      </c>
      <c r="V59" s="1139">
        <f>COUNTIF(I48:I67,"수")</f>
        <v>0</v>
      </c>
      <c r="W59" s="1138" t="s">
        <v>26</v>
      </c>
      <c r="X59" s="1138">
        <f>SUMIF(D48:D67,"수",F48:F67)</f>
        <v>0</v>
      </c>
      <c r="Y59" s="1139">
        <f>SUMIF(I48:I67,"수",K48:K67)</f>
        <v>0</v>
      </c>
      <c r="Z59" s="1138">
        <f>COUNTIF(AJ48:AJ67,"수국")+COUNTIF(AJ48:AJ67,"수공")</f>
        <v>0</v>
      </c>
      <c r="AA59" s="1139">
        <f>COUNTIF(AK48:AK67,"수국")+COUNTIF(AK48:AK67,"수공")</f>
        <v>0</v>
      </c>
      <c r="AB59" s="1138" t="s">
        <v>26</v>
      </c>
      <c r="AC59" s="1138">
        <f>SUMIF(AJ48:AJ67,"수국",F48:F67)+SUMIF(AJ48:AJ67,"수공",F48:F67)</f>
        <v>0</v>
      </c>
      <c r="AD59" s="1139">
        <f>SUMIF(AK48:AK67,"수국",K48:K67)+SUMIF(AK48:AK67,"수공",K48:K67)</f>
        <v>0</v>
      </c>
      <c r="AE59" s="1138">
        <f t="shared" si="9"/>
        <v>0</v>
      </c>
      <c r="AF59" s="1139">
        <f t="shared" si="9"/>
        <v>0</v>
      </c>
      <c r="AG59" s="1138" t="s">
        <v>26</v>
      </c>
      <c r="AH59" s="1138">
        <f t="shared" si="10"/>
        <v>0</v>
      </c>
      <c r="AI59" s="1139">
        <f t="shared" si="10"/>
        <v>0</v>
      </c>
      <c r="AJ59" s="1138" t="str">
        <f t="shared" si="11"/>
        <v>답이병용</v>
      </c>
      <c r="AK59" s="1138" t="str">
        <f t="shared" si="3"/>
        <v>답공</v>
      </c>
      <c r="AL59" s="66"/>
      <c r="AM59" s="66"/>
    </row>
    <row r="60" spans="1:39" s="67" customFormat="1" ht="24.95" customHeight="1" x14ac:dyDescent="0.15">
      <c r="A60" s="348">
        <v>53</v>
      </c>
      <c r="B60" s="222" t="s">
        <v>231</v>
      </c>
      <c r="C60" s="1016" t="s">
        <v>518</v>
      </c>
      <c r="D60" s="1016" t="s">
        <v>28</v>
      </c>
      <c r="E60" s="1033">
        <v>210</v>
      </c>
      <c r="F60" s="1033">
        <v>210</v>
      </c>
      <c r="G60" s="357"/>
      <c r="H60" s="1025" t="s">
        <v>518</v>
      </c>
      <c r="I60" s="1025" t="s">
        <v>28</v>
      </c>
      <c r="J60" s="1036">
        <v>210</v>
      </c>
      <c r="K60" s="1036">
        <v>210</v>
      </c>
      <c r="L60" s="1016" t="s">
        <v>535</v>
      </c>
      <c r="M60" s="1016" t="s">
        <v>536</v>
      </c>
      <c r="N60" s="1025" t="s">
        <v>660</v>
      </c>
      <c r="O60" s="1025" t="s">
        <v>670</v>
      </c>
      <c r="P60" s="203"/>
      <c r="Q60" s="203"/>
      <c r="R60" s="203"/>
      <c r="S60" s="342"/>
      <c r="T60" s="1138" t="s">
        <v>35</v>
      </c>
      <c r="U60" s="1138">
        <f>COUNTIF(D48:D67,"잡")</f>
        <v>0</v>
      </c>
      <c r="V60" s="1139">
        <f>COUNTIF(I48:I67,"잡")</f>
        <v>0</v>
      </c>
      <c r="W60" s="1138" t="s">
        <v>26</v>
      </c>
      <c r="X60" s="1138">
        <f>SUMIF(D48:D67,"잡",F48:F67)</f>
        <v>0</v>
      </c>
      <c r="Y60" s="1139">
        <f>SUMIF(I48:I67,"잡",K48:K67)</f>
        <v>0</v>
      </c>
      <c r="Z60" s="1138">
        <f>COUNTIF(AJ48:AJ67,"잡국")+COUNTIF(AJ48:AJ67,"잡공")</f>
        <v>0</v>
      </c>
      <c r="AA60" s="1139">
        <f>COUNTIF(AK48:AK67,"잡국")+COUNTIF(AK48:AK67,"잡공")</f>
        <v>0</v>
      </c>
      <c r="AB60" s="1138" t="s">
        <v>26</v>
      </c>
      <c r="AC60" s="1138">
        <f>SUMIF(AJ48:AJ67,"잡국",F48:F67)+SUMIF(AJ48:AJ67,"잡공",F48:F67)</f>
        <v>0</v>
      </c>
      <c r="AD60" s="1139">
        <f>SUMIF(AK48:AK67,"잡국",K48:K67)+SUMIF(AK48:AK67,"잡공",K48:K67)</f>
        <v>0</v>
      </c>
      <c r="AE60" s="1138">
        <f t="shared" si="9"/>
        <v>0</v>
      </c>
      <c r="AF60" s="1139">
        <f t="shared" si="9"/>
        <v>0</v>
      </c>
      <c r="AG60" s="1138" t="s">
        <v>26</v>
      </c>
      <c r="AH60" s="1138">
        <f t="shared" si="10"/>
        <v>0</v>
      </c>
      <c r="AI60" s="1139">
        <f t="shared" si="10"/>
        <v>0</v>
      </c>
      <c r="AJ60" s="1138" t="str">
        <f t="shared" si="11"/>
        <v>답이상룡</v>
      </c>
      <c r="AK60" s="1138" t="str">
        <f t="shared" si="3"/>
        <v>답공</v>
      </c>
      <c r="AL60" s="66"/>
      <c r="AM60" s="66"/>
    </row>
    <row r="61" spans="1:39" s="67" customFormat="1" ht="24.95" customHeight="1" x14ac:dyDescent="0.15">
      <c r="A61" s="348">
        <v>54</v>
      </c>
      <c r="B61" s="222" t="s">
        <v>231</v>
      </c>
      <c r="C61" s="1016" t="s">
        <v>519</v>
      </c>
      <c r="D61" s="1016" t="s">
        <v>252</v>
      </c>
      <c r="E61" s="1033">
        <v>229</v>
      </c>
      <c r="F61" s="1033">
        <v>25</v>
      </c>
      <c r="G61" s="357"/>
      <c r="H61" s="1025" t="s">
        <v>519</v>
      </c>
      <c r="I61" s="1025" t="s">
        <v>252</v>
      </c>
      <c r="J61" s="1036">
        <v>229</v>
      </c>
      <c r="K61" s="1036">
        <v>25</v>
      </c>
      <c r="L61" s="1016" t="s">
        <v>155</v>
      </c>
      <c r="M61" s="1016" t="s">
        <v>188</v>
      </c>
      <c r="N61" s="1025" t="s">
        <v>155</v>
      </c>
      <c r="O61" s="1025" t="s">
        <v>188</v>
      </c>
      <c r="P61" s="203"/>
      <c r="Q61" s="203"/>
      <c r="R61" s="203"/>
      <c r="S61" s="345"/>
      <c r="T61" s="1138" t="s">
        <v>220</v>
      </c>
      <c r="U61" s="1138">
        <f>COUNTIF(D48:D67,"창")</f>
        <v>0</v>
      </c>
      <c r="V61" s="1139">
        <f>COUNTIF(I48:I67,"창")</f>
        <v>0</v>
      </c>
      <c r="W61" s="1138" t="s">
        <v>26</v>
      </c>
      <c r="X61" s="1138">
        <f>SUMIF(D48:D67,"창",F48:F67)</f>
        <v>0</v>
      </c>
      <c r="Y61" s="1139">
        <f>SUMIF(I48:I67,"창",K48:K67)</f>
        <v>0</v>
      </c>
      <c r="Z61" s="1138">
        <f>COUNTIF(AJ48:AJ67,"창국")+COUNTIF(AJ48:AJ67,"창공")</f>
        <v>0</v>
      </c>
      <c r="AA61" s="1139">
        <f>COUNTIF(AK48:AK67,"창국")+COUNTIF(AK48:AK67,"창공")</f>
        <v>0</v>
      </c>
      <c r="AB61" s="1138" t="s">
        <v>26</v>
      </c>
      <c r="AC61" s="1138">
        <f>SUMIF(AJ48:AJ67,"창국",F48:F67)+SUMIF(AJ48:AJ67,"창공",F48:F67)</f>
        <v>0</v>
      </c>
      <c r="AD61" s="1139">
        <f>SUMIF(AK48:AK67,"창국",K48:K67)+SUMIF(AK48:AK67,"창공",K48:K67)</f>
        <v>0</v>
      </c>
      <c r="AE61" s="1138">
        <f t="shared" si="9"/>
        <v>0</v>
      </c>
      <c r="AF61" s="1139">
        <f t="shared" si="9"/>
        <v>0</v>
      </c>
      <c r="AG61" s="1138" t="s">
        <v>26</v>
      </c>
      <c r="AH61" s="1138">
        <f t="shared" si="10"/>
        <v>0</v>
      </c>
      <c r="AI61" s="1139">
        <f t="shared" si="10"/>
        <v>0</v>
      </c>
      <c r="AJ61" s="1138" t="str">
        <f t="shared" si="11"/>
        <v>천국</v>
      </c>
      <c r="AK61" s="1138" t="str">
        <f t="shared" si="3"/>
        <v>천국</v>
      </c>
      <c r="AL61" s="66"/>
      <c r="AM61" s="66"/>
    </row>
    <row r="62" spans="1:39" s="67" customFormat="1" ht="24.95" customHeight="1" thickBot="1" x14ac:dyDescent="0.2">
      <c r="A62" s="348">
        <v>55</v>
      </c>
      <c r="B62" s="222" t="s">
        <v>231</v>
      </c>
      <c r="C62" s="1016" t="s">
        <v>520</v>
      </c>
      <c r="D62" s="1016" t="s">
        <v>252</v>
      </c>
      <c r="E62" s="1033">
        <v>975</v>
      </c>
      <c r="F62" s="1033">
        <v>442</v>
      </c>
      <c r="G62" s="357"/>
      <c r="H62" s="1025" t="s">
        <v>520</v>
      </c>
      <c r="I62" s="1025" t="s">
        <v>252</v>
      </c>
      <c r="J62" s="1036">
        <v>975</v>
      </c>
      <c r="K62" s="1036">
        <v>442</v>
      </c>
      <c r="L62" s="1016" t="s">
        <v>155</v>
      </c>
      <c r="M62" s="1016" t="s">
        <v>188</v>
      </c>
      <c r="N62" s="1025" t="s">
        <v>155</v>
      </c>
      <c r="O62" s="1025" t="s">
        <v>188</v>
      </c>
      <c r="P62" s="102"/>
      <c r="Q62" s="102"/>
      <c r="R62" s="102"/>
      <c r="S62" s="345"/>
      <c r="T62" s="1138" t="s">
        <v>50</v>
      </c>
      <c r="U62" s="1138">
        <f>COUNTIF(D48:D67,"공")</f>
        <v>0</v>
      </c>
      <c r="V62" s="1139">
        <f>COUNTIF(I48:I67,"공")</f>
        <v>0</v>
      </c>
      <c r="W62" s="1138" t="s">
        <v>26</v>
      </c>
      <c r="X62" s="1138">
        <f>SUMIF(D48:D67,"공",F48:F67)</f>
        <v>0</v>
      </c>
      <c r="Y62" s="1139">
        <f>SUMIF(I48:I67,"공",K48:K67)</f>
        <v>0</v>
      </c>
      <c r="Z62" s="1138">
        <f>COUNTIF(AJ48:AJ67,"공국")+COUNTIF(AJ48:AJ67,"공공")</f>
        <v>0</v>
      </c>
      <c r="AA62" s="1139">
        <f>COUNTIF(AK48:AK67,"공국")+COUNTIF(AK48:AK67,"공공")</f>
        <v>0</v>
      </c>
      <c r="AB62" s="1138" t="s">
        <v>26</v>
      </c>
      <c r="AC62" s="1138">
        <f>SUMIF(AJ48:AJ67,"공국",F48:F67)+SUMIF(AJ48:AJ67,"공공",F48:F67)</f>
        <v>0</v>
      </c>
      <c r="AD62" s="1139">
        <f>SUMIF(AK48:AK67,"공국",K48:K67)+SUMIF(AK48:AK67,"공공",K48:K67)</f>
        <v>0</v>
      </c>
      <c r="AE62" s="1138">
        <f t="shared" si="9"/>
        <v>0</v>
      </c>
      <c r="AF62" s="1139">
        <f t="shared" si="9"/>
        <v>0</v>
      </c>
      <c r="AG62" s="1138" t="s">
        <v>26</v>
      </c>
      <c r="AH62" s="1138">
        <f t="shared" si="10"/>
        <v>0</v>
      </c>
      <c r="AI62" s="1139">
        <f t="shared" si="10"/>
        <v>0</v>
      </c>
      <c r="AJ62" s="1138" t="str">
        <f t="shared" si="11"/>
        <v>천국</v>
      </c>
      <c r="AK62" s="1138" t="str">
        <f t="shared" si="3"/>
        <v>천국</v>
      </c>
      <c r="AL62" s="66"/>
      <c r="AM62" s="66"/>
    </row>
    <row r="63" spans="1:39" s="67" customFormat="1" ht="24.95" customHeight="1" x14ac:dyDescent="0.15">
      <c r="A63" s="348">
        <v>56</v>
      </c>
      <c r="B63" s="222" t="s">
        <v>231</v>
      </c>
      <c r="C63" s="1016" t="s">
        <v>543</v>
      </c>
      <c r="D63" s="1016" t="s">
        <v>252</v>
      </c>
      <c r="E63" s="1033">
        <v>421</v>
      </c>
      <c r="F63" s="1033">
        <v>421</v>
      </c>
      <c r="G63" s="488"/>
      <c r="H63" s="1025" t="s">
        <v>543</v>
      </c>
      <c r="I63" s="1025" t="s">
        <v>252</v>
      </c>
      <c r="J63" s="1036">
        <v>421</v>
      </c>
      <c r="K63" s="1036">
        <v>421</v>
      </c>
      <c r="L63" s="1016" t="s">
        <v>155</v>
      </c>
      <c r="M63" s="1016" t="s">
        <v>188</v>
      </c>
      <c r="N63" s="1025" t="s">
        <v>155</v>
      </c>
      <c r="O63" s="1025" t="s">
        <v>188</v>
      </c>
      <c r="P63" s="203"/>
      <c r="Q63" s="203"/>
      <c r="R63" s="203"/>
      <c r="S63" s="342"/>
      <c r="T63" s="1142" t="s">
        <v>219</v>
      </c>
      <c r="U63" s="1138">
        <f>COUNTIF(D48:D67,"주")</f>
        <v>0</v>
      </c>
      <c r="V63" s="1139">
        <f>COUNTIF(I48:I67,"주")</f>
        <v>0</v>
      </c>
      <c r="W63" s="1138" t="s">
        <v>26</v>
      </c>
      <c r="X63" s="1138">
        <f>SUMIF(D48:D67,"장",F48:F67)</f>
        <v>0</v>
      </c>
      <c r="Y63" s="1139">
        <f>SUMIF(I48:I67,"주",K48:K67)</f>
        <v>0</v>
      </c>
      <c r="Z63" s="1138">
        <f>COUNTIF(AJ48:AJ67,"주국")+COUNTIF(AJ48:AJ67,"주공")</f>
        <v>0</v>
      </c>
      <c r="AA63" s="1139">
        <f>COUNTIF(AK48:AK67,"주국")+COUNTIF(AK48:AK67,"주공")</f>
        <v>0</v>
      </c>
      <c r="AB63" s="1138" t="s">
        <v>26</v>
      </c>
      <c r="AC63" s="1138">
        <f>SUMIF(AJ48:AJ67,"주국",F48:F67)+SUMIF(AJ48:AJ67,"주공",F48:F67)</f>
        <v>0</v>
      </c>
      <c r="AD63" s="1139">
        <f>SUMIF(AK48:AK67,"주국",K48:K67)+SUMIF(AK48:AK67,"주공",K48:K67)</f>
        <v>0</v>
      </c>
      <c r="AE63" s="1138">
        <f t="shared" si="9"/>
        <v>0</v>
      </c>
      <c r="AF63" s="1139">
        <f t="shared" si="9"/>
        <v>0</v>
      </c>
      <c r="AG63" s="1138" t="s">
        <v>26</v>
      </c>
      <c r="AH63" s="1138">
        <f t="shared" si="10"/>
        <v>0</v>
      </c>
      <c r="AI63" s="1139">
        <f t="shared" si="10"/>
        <v>0</v>
      </c>
      <c r="AJ63" s="1138" t="str">
        <f t="shared" si="11"/>
        <v>천국</v>
      </c>
      <c r="AK63" s="1138" t="str">
        <f t="shared" si="3"/>
        <v>천국</v>
      </c>
      <c r="AL63" s="66"/>
      <c r="AM63" s="66"/>
    </row>
    <row r="64" spans="1:39" s="67" customFormat="1" ht="24.95" customHeight="1" x14ac:dyDescent="0.15">
      <c r="A64" s="348">
        <v>57</v>
      </c>
      <c r="B64" s="222" t="s">
        <v>231</v>
      </c>
      <c r="C64" s="1016" t="s">
        <v>544</v>
      </c>
      <c r="D64" s="1016" t="s">
        <v>28</v>
      </c>
      <c r="E64" s="1033">
        <v>1043</v>
      </c>
      <c r="F64" s="1033">
        <v>1043</v>
      </c>
      <c r="G64" s="417"/>
      <c r="H64" s="1025" t="s">
        <v>544</v>
      </c>
      <c r="I64" s="1025" t="s">
        <v>28</v>
      </c>
      <c r="J64" s="1036">
        <v>1043</v>
      </c>
      <c r="K64" s="1036">
        <v>1043</v>
      </c>
      <c r="L64" s="1016" t="s">
        <v>564</v>
      </c>
      <c r="M64" s="1016" t="s">
        <v>565</v>
      </c>
      <c r="N64" s="1025" t="s">
        <v>660</v>
      </c>
      <c r="O64" s="1025" t="s">
        <v>669</v>
      </c>
      <c r="P64" s="203"/>
      <c r="Q64" s="203"/>
      <c r="R64" s="203"/>
      <c r="S64" s="345"/>
      <c r="T64" s="1142" t="s">
        <v>542</v>
      </c>
      <c r="U64" s="1138">
        <f>COUNTIF(D48:D67,"목")</f>
        <v>1</v>
      </c>
      <c r="V64" s="1139">
        <f>COUNTIF(I48:I67,"목")</f>
        <v>1</v>
      </c>
      <c r="W64" s="1138" t="s">
        <v>26</v>
      </c>
      <c r="X64" s="1138">
        <f>SUMIF(D48:D67,"목",F48:F67)</f>
        <v>104</v>
      </c>
      <c r="Y64" s="1139">
        <f>SUMIF(I48:I67,"목",K48:K67)</f>
        <v>104</v>
      </c>
      <c r="Z64" s="1138">
        <f>COUNTIF(AJ48:AJ67,"목국")+COUNTIF(AJ48:AJ67,"목공")</f>
        <v>0</v>
      </c>
      <c r="AA64" s="1139">
        <f>COUNTIF(AK48:AK67,"목국")+COUNTIF(AK48:AK67,"목공")</f>
        <v>1</v>
      </c>
      <c r="AB64" s="1138" t="s">
        <v>26</v>
      </c>
      <c r="AC64" s="1138">
        <f>SUMIF(AJ48:AJ67,"목국",F48:F67)+SUMIF(AJ48:AJ67,"목공",F48:F67)</f>
        <v>0</v>
      </c>
      <c r="AD64" s="1139">
        <f>SUMIF(AK48:AK67,"목국",K48:K67)+SUMIF(AK48:AK67,"목공",K48:K67)</f>
        <v>104</v>
      </c>
      <c r="AE64" s="1138">
        <f t="shared" si="9"/>
        <v>1</v>
      </c>
      <c r="AF64" s="1139">
        <f t="shared" si="9"/>
        <v>0</v>
      </c>
      <c r="AG64" s="1138" t="s">
        <v>26</v>
      </c>
      <c r="AH64" s="1138">
        <f t="shared" si="10"/>
        <v>104</v>
      </c>
      <c r="AI64" s="1139">
        <f t="shared" si="10"/>
        <v>0</v>
      </c>
      <c r="AJ64" s="1138" t="str">
        <f t="shared" si="11"/>
        <v>답이석규</v>
      </c>
      <c r="AK64" s="1138" t="str">
        <f t="shared" si="3"/>
        <v>답공</v>
      </c>
      <c r="AL64" s="66"/>
      <c r="AM64" s="66"/>
    </row>
    <row r="65" spans="1:39" s="67" customFormat="1" ht="24.95" customHeight="1" x14ac:dyDescent="0.15">
      <c r="A65" s="348">
        <v>58</v>
      </c>
      <c r="B65" s="222" t="s">
        <v>231</v>
      </c>
      <c r="C65" s="1016" t="s">
        <v>545</v>
      </c>
      <c r="D65" s="1016" t="s">
        <v>28</v>
      </c>
      <c r="E65" s="1033">
        <v>339</v>
      </c>
      <c r="F65" s="1033">
        <v>339</v>
      </c>
      <c r="G65" s="417"/>
      <c r="H65" s="1025" t="s">
        <v>545</v>
      </c>
      <c r="I65" s="1025" t="s">
        <v>28</v>
      </c>
      <c r="J65" s="1036">
        <v>339</v>
      </c>
      <c r="K65" s="1036">
        <v>339</v>
      </c>
      <c r="L65" s="1016" t="s">
        <v>564</v>
      </c>
      <c r="M65" s="1016" t="s">
        <v>565</v>
      </c>
      <c r="N65" s="1025" t="s">
        <v>660</v>
      </c>
      <c r="O65" s="1025" t="s">
        <v>670</v>
      </c>
      <c r="P65" s="102"/>
      <c r="Q65" s="102"/>
      <c r="R65" s="102"/>
      <c r="S65" s="342"/>
      <c r="T65" s="1142"/>
      <c r="U65" s="1142"/>
      <c r="V65" s="1143"/>
      <c r="W65" s="1142"/>
      <c r="X65" s="1142"/>
      <c r="Y65" s="1143"/>
      <c r="Z65" s="1138"/>
      <c r="AA65" s="1139"/>
      <c r="AB65" s="1142"/>
      <c r="AC65" s="1138"/>
      <c r="AD65" s="1139"/>
      <c r="AE65" s="1142"/>
      <c r="AF65" s="1143"/>
      <c r="AG65" s="1142"/>
      <c r="AH65" s="1142"/>
      <c r="AI65" s="1143"/>
      <c r="AJ65" s="1138" t="str">
        <f t="shared" si="11"/>
        <v>답이석규</v>
      </c>
      <c r="AK65" s="1138" t="str">
        <f t="shared" si="3"/>
        <v>답공</v>
      </c>
      <c r="AL65" s="66"/>
      <c r="AM65" s="66"/>
    </row>
    <row r="66" spans="1:39" s="67" customFormat="1" ht="24.95" customHeight="1" x14ac:dyDescent="0.15">
      <c r="A66" s="348">
        <v>59</v>
      </c>
      <c r="B66" s="222" t="s">
        <v>231</v>
      </c>
      <c r="C66" s="1016" t="s">
        <v>546</v>
      </c>
      <c r="D66" s="1016" t="s">
        <v>28</v>
      </c>
      <c r="E66" s="1033">
        <v>1352</v>
      </c>
      <c r="F66" s="1033">
        <v>1352</v>
      </c>
      <c r="G66" s="417"/>
      <c r="H66" s="1025" t="s">
        <v>546</v>
      </c>
      <c r="I66" s="1025" t="s">
        <v>28</v>
      </c>
      <c r="J66" s="1036">
        <v>1352</v>
      </c>
      <c r="K66" s="1036">
        <v>1352</v>
      </c>
      <c r="L66" s="1016" t="s">
        <v>566</v>
      </c>
      <c r="M66" s="1016" t="s">
        <v>581</v>
      </c>
      <c r="N66" s="1025" t="s">
        <v>661</v>
      </c>
      <c r="O66" s="1025" t="s">
        <v>669</v>
      </c>
      <c r="P66" s="370"/>
      <c r="Q66" s="370"/>
      <c r="R66" s="370"/>
      <c r="S66" s="342"/>
      <c r="T66" s="1142"/>
      <c r="U66" s="1142"/>
      <c r="V66" s="1143"/>
      <c r="W66" s="1142"/>
      <c r="X66" s="1142"/>
      <c r="Y66" s="1143"/>
      <c r="Z66" s="1138"/>
      <c r="AA66" s="1139"/>
      <c r="AB66" s="1142"/>
      <c r="AC66" s="1138"/>
      <c r="AD66" s="1139"/>
      <c r="AE66" s="1142"/>
      <c r="AF66" s="1143"/>
      <c r="AG66" s="1142"/>
      <c r="AH66" s="1142"/>
      <c r="AI66" s="1143"/>
      <c r="AJ66" s="1138" t="str">
        <f t="shared" si="11"/>
        <v>답이원섭</v>
      </c>
      <c r="AK66" s="1138" t="str">
        <f t="shared" si="3"/>
        <v>답공</v>
      </c>
      <c r="AL66" s="66"/>
      <c r="AM66" s="66"/>
    </row>
    <row r="67" spans="1:39" s="67" customFormat="1" ht="24.95" customHeight="1" x14ac:dyDescent="0.15">
      <c r="A67" s="348">
        <v>60</v>
      </c>
      <c r="B67" s="222" t="s">
        <v>231</v>
      </c>
      <c r="C67" s="1016" t="s">
        <v>547</v>
      </c>
      <c r="D67" s="1016" t="s">
        <v>27</v>
      </c>
      <c r="E67" s="1033">
        <v>80</v>
      </c>
      <c r="F67" s="1033">
        <v>80</v>
      </c>
      <c r="G67" s="417"/>
      <c r="H67" s="1025" t="s">
        <v>547</v>
      </c>
      <c r="I67" s="1025" t="s">
        <v>27</v>
      </c>
      <c r="J67" s="1036">
        <v>80</v>
      </c>
      <c r="K67" s="1036">
        <v>80</v>
      </c>
      <c r="L67" s="1016" t="s">
        <v>567</v>
      </c>
      <c r="M67" s="1016" t="s">
        <v>582</v>
      </c>
      <c r="N67" s="1025" t="s">
        <v>661</v>
      </c>
      <c r="O67" s="1025" t="s">
        <v>669</v>
      </c>
      <c r="P67" s="203"/>
      <c r="Q67" s="203"/>
      <c r="R67" s="203"/>
      <c r="S67" s="342"/>
      <c r="T67" s="1144" t="s">
        <v>37</v>
      </c>
      <c r="U67" s="1144">
        <f>COUNTIF(D48:D67,"철")</f>
        <v>0</v>
      </c>
      <c r="V67" s="1145">
        <f>COUNTIF(I48:I67,"철")</f>
        <v>0</v>
      </c>
      <c r="W67" s="1144" t="s">
        <v>26</v>
      </c>
      <c r="X67" s="1144">
        <f>SUMIF(D48:D67,"철",F48:F67)</f>
        <v>0</v>
      </c>
      <c r="Y67" s="1145">
        <f>SUMIF(I48:I67,"철",K48:K67)</f>
        <v>0</v>
      </c>
      <c r="Z67" s="1138">
        <f>COUNTIF(AJ48:AJ67,"철국")+COUNTIF(AJ48:AJ67,"철공")</f>
        <v>0</v>
      </c>
      <c r="AA67" s="1139">
        <f>COUNTIF(AK48:AK67,"철국")+COUNTIF(AK48:AK67,"철공")</f>
        <v>0</v>
      </c>
      <c r="AB67" s="1144" t="s">
        <v>26</v>
      </c>
      <c r="AC67" s="1138">
        <f>SUMIF(AJ48:AJ67,"철국",F48:F67)+SUMIF(AJ48:AJ67,"철공",F48:F67)</f>
        <v>0</v>
      </c>
      <c r="AD67" s="1139">
        <f>SUMIF(AK48:AK67,"철국",K48:K67)+SUMIF(AK48:AK67,"철공",K48:K67)</f>
        <v>0</v>
      </c>
      <c r="AE67" s="1144"/>
      <c r="AF67" s="1145"/>
      <c r="AG67" s="1144"/>
      <c r="AH67" s="1144"/>
      <c r="AI67" s="1145"/>
      <c r="AJ67" s="1138" t="str">
        <f t="shared" si="11"/>
        <v>전강병란</v>
      </c>
      <c r="AK67" s="1138" t="str">
        <f t="shared" si="3"/>
        <v>전공</v>
      </c>
      <c r="AL67" s="66"/>
      <c r="AM67" s="66"/>
    </row>
    <row r="68" spans="1:39" s="57" customFormat="1" ht="24.95" customHeight="1" thickBot="1" x14ac:dyDescent="0.2">
      <c r="A68" s="1146" t="s">
        <v>48</v>
      </c>
      <c r="B68" s="1147"/>
      <c r="C68" s="1147"/>
      <c r="D68" s="1147"/>
      <c r="E68" s="1147"/>
      <c r="F68" s="1148">
        <f>SUM(F48:F67)</f>
        <v>6815</v>
      </c>
      <c r="G68" s="1149"/>
      <c r="H68" s="1149"/>
      <c r="I68" s="1150"/>
      <c r="J68" s="1151"/>
      <c r="K68" s="1152">
        <f>SUM(K48:K67)</f>
        <v>6815</v>
      </c>
      <c r="L68" s="1153"/>
      <c r="M68" s="1153"/>
      <c r="N68" s="1154"/>
      <c r="O68" s="1154"/>
      <c r="P68" s="1153"/>
      <c r="Q68" s="1153"/>
      <c r="R68" s="1153"/>
      <c r="S68" s="1155"/>
      <c r="T68" s="1156" t="s">
        <v>24</v>
      </c>
      <c r="U68" s="1157">
        <f t="shared" ref="U68:AA68" si="12">SUM(U48:U67)</f>
        <v>20</v>
      </c>
      <c r="V68" s="1157">
        <f t="shared" si="12"/>
        <v>20</v>
      </c>
      <c r="W68" s="1157">
        <f t="shared" si="12"/>
        <v>0</v>
      </c>
      <c r="X68" s="1157">
        <f t="shared" si="12"/>
        <v>6815</v>
      </c>
      <c r="Y68" s="1157">
        <f t="shared" si="12"/>
        <v>6815</v>
      </c>
      <c r="Z68" s="1138">
        <f t="shared" si="12"/>
        <v>4</v>
      </c>
      <c r="AA68" s="1139">
        <f t="shared" si="12"/>
        <v>20</v>
      </c>
      <c r="AB68" s="1138" t="s">
        <v>26</v>
      </c>
      <c r="AC68" s="1138">
        <f>SUM(AC48:AC67)</f>
        <v>923</v>
      </c>
      <c r="AD68" s="1139">
        <f>SUM(AD48:AD67)</f>
        <v>6815</v>
      </c>
      <c r="AE68" s="1157">
        <f>SUM(AE48:AE67)</f>
        <v>16</v>
      </c>
      <c r="AF68" s="1157">
        <f>SUM(AF48:AF67)</f>
        <v>0</v>
      </c>
      <c r="AG68" s="1157" t="s">
        <v>26</v>
      </c>
      <c r="AH68" s="1157">
        <f>SUM(AH48:AH67)</f>
        <v>5892</v>
      </c>
      <c r="AI68" s="1157">
        <f>SUM(AI48:AI67)</f>
        <v>0</v>
      </c>
      <c r="AJ68" s="1157"/>
      <c r="AK68" s="1138" t="str">
        <f t="shared" si="3"/>
        <v/>
      </c>
    </row>
    <row r="69" spans="1:39" s="67" customFormat="1" ht="24.95" customHeight="1" x14ac:dyDescent="0.15">
      <c r="A69" s="368">
        <v>61</v>
      </c>
      <c r="B69" s="318" t="s">
        <v>228</v>
      </c>
      <c r="C69" s="1016" t="s">
        <v>548</v>
      </c>
      <c r="D69" s="1016" t="s">
        <v>156</v>
      </c>
      <c r="E69" s="1033">
        <v>172</v>
      </c>
      <c r="F69" s="1033">
        <v>172</v>
      </c>
      <c r="G69" s="417"/>
      <c r="H69" s="1025" t="s">
        <v>548</v>
      </c>
      <c r="I69" s="1025" t="s">
        <v>156</v>
      </c>
      <c r="J69" s="1036">
        <v>172</v>
      </c>
      <c r="K69" s="1036">
        <v>172</v>
      </c>
      <c r="L69" s="1016" t="s">
        <v>567</v>
      </c>
      <c r="M69" s="1016" t="s">
        <v>582</v>
      </c>
      <c r="N69" s="1025" t="s">
        <v>660</v>
      </c>
      <c r="O69" s="1025" t="s">
        <v>669</v>
      </c>
      <c r="P69" s="362"/>
      <c r="Q69" s="362"/>
      <c r="R69" s="362"/>
      <c r="S69" s="358"/>
      <c r="T69" s="1138" t="s">
        <v>27</v>
      </c>
      <c r="U69" s="1138">
        <f>COUNTIF(D69:D88,"전")</f>
        <v>4</v>
      </c>
      <c r="V69" s="1139">
        <f>COUNTIF(I69:I88,"전")</f>
        <v>4</v>
      </c>
      <c r="W69" s="1138" t="s">
        <v>26</v>
      </c>
      <c r="X69" s="1138">
        <f>SUMIF(D69:D88,"전",F69:F88)</f>
        <v>1824</v>
      </c>
      <c r="Y69" s="1139">
        <f>SUMIF(I69:I88,"전",K69:K88)</f>
        <v>1824</v>
      </c>
      <c r="Z69" s="1138">
        <f>COUNTIF(AJ69:AJ88,"전국")+COUNTIF(AJ69:AJ88,"전공")</f>
        <v>0</v>
      </c>
      <c r="AA69" s="1139">
        <f>COUNTIF(AK69:AK88,"전국")+COUNTIF(AK69:AK88,"전공")</f>
        <v>4</v>
      </c>
      <c r="AB69" s="1138" t="s">
        <v>26</v>
      </c>
      <c r="AC69" s="1138">
        <f>SUMIF(AJ69:AJ88,"전국",F69:F88)+SUMIF(AJ69:AJ88,"전공",F69:F88)</f>
        <v>0</v>
      </c>
      <c r="AD69" s="1139">
        <f>SUMIF(AK69:AK88,"전국",K69:K88)+SUMIF(AK69:AK88,"전공",K69:K88)</f>
        <v>1824</v>
      </c>
      <c r="AE69" s="1138">
        <f t="shared" ref="AE69:AF85" si="13">U69-Z69</f>
        <v>4</v>
      </c>
      <c r="AF69" s="1139">
        <f t="shared" si="13"/>
        <v>0</v>
      </c>
      <c r="AG69" s="1138" t="s">
        <v>26</v>
      </c>
      <c r="AH69" s="1138">
        <f t="shared" ref="AH69:AI85" si="14">X69-AC69</f>
        <v>1824</v>
      </c>
      <c r="AI69" s="1139">
        <f t="shared" si="14"/>
        <v>0</v>
      </c>
      <c r="AJ69" s="1138" t="str">
        <f t="shared" ref="AJ69:AJ88" si="15">CONCATENATE(D69,L69)</f>
        <v>대강병란</v>
      </c>
      <c r="AK69" s="1138" t="str">
        <f t="shared" si="3"/>
        <v>대공</v>
      </c>
    </row>
    <row r="70" spans="1:39" s="67" customFormat="1" ht="24.95" customHeight="1" x14ac:dyDescent="0.15">
      <c r="A70" s="348">
        <v>62</v>
      </c>
      <c r="B70" s="222" t="s">
        <v>231</v>
      </c>
      <c r="C70" s="1016" t="s">
        <v>549</v>
      </c>
      <c r="D70" s="1016" t="s">
        <v>27</v>
      </c>
      <c r="E70" s="1033">
        <v>1322</v>
      </c>
      <c r="F70" s="1033">
        <v>1322</v>
      </c>
      <c r="G70" s="417"/>
      <c r="H70" s="1025" t="s">
        <v>549</v>
      </c>
      <c r="I70" s="1025" t="s">
        <v>27</v>
      </c>
      <c r="J70" s="1036">
        <v>1322</v>
      </c>
      <c r="K70" s="1036">
        <v>1322</v>
      </c>
      <c r="L70" s="1016" t="s">
        <v>568</v>
      </c>
      <c r="M70" s="1016" t="s">
        <v>569</v>
      </c>
      <c r="N70" s="1025" t="s">
        <v>660</v>
      </c>
      <c r="O70" s="1025" t="s">
        <v>669</v>
      </c>
      <c r="P70" s="203"/>
      <c r="Q70" s="203"/>
      <c r="R70" s="203"/>
      <c r="S70" s="342"/>
      <c r="T70" s="1138" t="s">
        <v>28</v>
      </c>
      <c r="U70" s="1138">
        <f>COUNTIF(D69:D88,"답")</f>
        <v>8</v>
      </c>
      <c r="V70" s="1139">
        <f>COUNTIF(I69:I88,"답")</f>
        <v>8</v>
      </c>
      <c r="W70" s="1138" t="s">
        <v>26</v>
      </c>
      <c r="X70" s="1138">
        <f>SUMIF(D69:D88,"답",F69:F88)</f>
        <v>4392</v>
      </c>
      <c r="Y70" s="1139">
        <f>SUMIF(I69:I88,"답",K69:K88)</f>
        <v>4392</v>
      </c>
      <c r="Z70" s="1138">
        <f>COUNTIF(AJ69:AJ88,"답국")+COUNTIF(AJ69:AJ88,"답공")</f>
        <v>0</v>
      </c>
      <c r="AA70" s="1139">
        <f>COUNTIF(AK69:AK88,"답국")+COUNTIF(AK69:AK88,"답공")</f>
        <v>8</v>
      </c>
      <c r="AB70" s="1138" t="s">
        <v>26</v>
      </c>
      <c r="AC70" s="1138">
        <f>SUMIF(AJ69:AJ88,"답국",F69:F88)+SUMIF(AJ69:AJ88,"답공",F69:F88)</f>
        <v>0</v>
      </c>
      <c r="AD70" s="1139">
        <f>SUMIF(AK69:AK88,"답국",K69:K88)+SUMIF(AK69:AK88,"답공",K69:K88)</f>
        <v>4392</v>
      </c>
      <c r="AE70" s="1138">
        <f t="shared" si="13"/>
        <v>8</v>
      </c>
      <c r="AF70" s="1139">
        <f t="shared" si="13"/>
        <v>0</v>
      </c>
      <c r="AG70" s="1138" t="s">
        <v>26</v>
      </c>
      <c r="AH70" s="1138">
        <f t="shared" si="14"/>
        <v>4392</v>
      </c>
      <c r="AI70" s="1139">
        <f t="shared" si="14"/>
        <v>0</v>
      </c>
      <c r="AJ70" s="1138" t="str">
        <f t="shared" si="15"/>
        <v>전윤선균</v>
      </c>
      <c r="AK70" s="1138" t="str">
        <f t="shared" si="3"/>
        <v>전공</v>
      </c>
      <c r="AM70" s="66"/>
    </row>
    <row r="71" spans="1:39" s="67" customFormat="1" ht="24.95" customHeight="1" x14ac:dyDescent="0.15">
      <c r="A71" s="349" t="s">
        <v>11</v>
      </c>
      <c r="B71" s="222" t="s">
        <v>231</v>
      </c>
      <c r="C71" s="1016" t="s">
        <v>550</v>
      </c>
      <c r="D71" s="1016" t="s">
        <v>156</v>
      </c>
      <c r="E71" s="1033">
        <v>107</v>
      </c>
      <c r="F71" s="1033">
        <v>107</v>
      </c>
      <c r="G71" s="417"/>
      <c r="H71" s="1025" t="s">
        <v>550</v>
      </c>
      <c r="I71" s="1025" t="s">
        <v>156</v>
      </c>
      <c r="J71" s="1036">
        <v>107</v>
      </c>
      <c r="K71" s="1036">
        <v>107</v>
      </c>
      <c r="L71" s="1016" t="s">
        <v>568</v>
      </c>
      <c r="M71" s="1016" t="s">
        <v>569</v>
      </c>
      <c r="N71" s="1025" t="s">
        <v>660</v>
      </c>
      <c r="O71" s="1025" t="s">
        <v>670</v>
      </c>
      <c r="P71" s="102"/>
      <c r="Q71" s="102"/>
      <c r="R71" s="102"/>
      <c r="S71" s="342"/>
      <c r="T71" s="1138" t="s">
        <v>44</v>
      </c>
      <c r="U71" s="1138">
        <f>COUNTIF(D69:D88,"임")</f>
        <v>0</v>
      </c>
      <c r="V71" s="1139">
        <f>COUNTIF(I69:I88,"임")</f>
        <v>0</v>
      </c>
      <c r="W71" s="1138" t="s">
        <v>26</v>
      </c>
      <c r="X71" s="1138">
        <f>SUMIF(D69:D88,"임",F69:F88)</f>
        <v>0</v>
      </c>
      <c r="Y71" s="1139">
        <f>SUMIF(I69:I88,"임",K69:K88)</f>
        <v>0</v>
      </c>
      <c r="Z71" s="1138">
        <f>COUNTIF(AJ69:AJ88,"임국")+COUNTIF(AJ69:AJ88,"임공")</f>
        <v>0</v>
      </c>
      <c r="AA71" s="1139">
        <f>COUNTIF(AK69:AK88,"임국")+COUNTIF(AK69:AK88,"임공")</f>
        <v>0</v>
      </c>
      <c r="AB71" s="1138" t="s">
        <v>26</v>
      </c>
      <c r="AC71" s="1138">
        <f>SUMIF(AJ69:AJ88,"임국",F69:F88)+SUMIF(AJ69:AJ88,"임공",F69:F88)</f>
        <v>0</v>
      </c>
      <c r="AD71" s="1139">
        <f>SUMIF(AK69:AK88,"임국",K69:K88)+SUMIF(AK69:AK88,"임공",K69:K88)</f>
        <v>0</v>
      </c>
      <c r="AE71" s="1138">
        <f t="shared" si="13"/>
        <v>0</v>
      </c>
      <c r="AF71" s="1139">
        <f t="shared" si="13"/>
        <v>0</v>
      </c>
      <c r="AG71" s="1138" t="s">
        <v>26</v>
      </c>
      <c r="AH71" s="1138">
        <f t="shared" si="14"/>
        <v>0</v>
      </c>
      <c r="AI71" s="1139">
        <f t="shared" si="14"/>
        <v>0</v>
      </c>
      <c r="AJ71" s="1138" t="str">
        <f t="shared" si="15"/>
        <v>대윤선균</v>
      </c>
      <c r="AK71" s="1138" t="str">
        <f t="shared" ref="AK71:AK134" si="16">CONCATENATE(I71,N71)</f>
        <v>대공</v>
      </c>
      <c r="AL71" s="66"/>
      <c r="AM71" s="66"/>
    </row>
    <row r="72" spans="1:39" s="67" customFormat="1" ht="24.95" customHeight="1" x14ac:dyDescent="0.15">
      <c r="A72" s="348">
        <v>64</v>
      </c>
      <c r="B72" s="222" t="s">
        <v>231</v>
      </c>
      <c r="C72" s="1016" t="s">
        <v>551</v>
      </c>
      <c r="D72" s="1016" t="s">
        <v>28</v>
      </c>
      <c r="E72" s="1033">
        <v>256</v>
      </c>
      <c r="F72" s="1033">
        <v>256</v>
      </c>
      <c r="G72" s="600"/>
      <c r="H72" s="1025" t="s">
        <v>551</v>
      </c>
      <c r="I72" s="1025" t="s">
        <v>28</v>
      </c>
      <c r="J72" s="1036">
        <v>256</v>
      </c>
      <c r="K72" s="1036">
        <v>256</v>
      </c>
      <c r="L72" s="1016" t="s">
        <v>570</v>
      </c>
      <c r="M72" s="1016" t="s">
        <v>571</v>
      </c>
      <c r="N72" s="1025" t="s">
        <v>660</v>
      </c>
      <c r="O72" s="1025" t="s">
        <v>669</v>
      </c>
      <c r="P72" s="203"/>
      <c r="Q72" s="203"/>
      <c r="R72" s="203"/>
      <c r="S72" s="342"/>
      <c r="T72" s="1138" t="s">
        <v>45</v>
      </c>
      <c r="U72" s="1138">
        <f>COUNTIF(D69:D88,"대")</f>
        <v>4</v>
      </c>
      <c r="V72" s="1139">
        <f>COUNTIF(I69:I88,"대")</f>
        <v>4</v>
      </c>
      <c r="W72" s="1138" t="s">
        <v>26</v>
      </c>
      <c r="X72" s="1138">
        <f>SUMIF(D69:D88,"대",F69:F88)</f>
        <v>532</v>
      </c>
      <c r="Y72" s="1139">
        <f>SUMIF(I69:I88,"대",K69:K88)</f>
        <v>532</v>
      </c>
      <c r="Z72" s="1138">
        <f>COUNTIF(AJ69:AJ88,"대국")+COUNTIF(AJ69:AJ88,"대공")</f>
        <v>0</v>
      </c>
      <c r="AA72" s="1139">
        <f>COUNTIF(AK69:AK88,"대국")+COUNTIF(AK69:AK88,"대공")</f>
        <v>4</v>
      </c>
      <c r="AB72" s="1138" t="s">
        <v>26</v>
      </c>
      <c r="AC72" s="1138">
        <f>SUMIF(AJ69:AJ88,"대국",F69:F88)+SUMIF(AJ69:AJ88,"대공",F69:F88)</f>
        <v>0</v>
      </c>
      <c r="AD72" s="1139">
        <f>SUMIF(AK69:AK88,"대국",K69:K88)+SUMIF(AK69:AK88,"대공",K69:K88)</f>
        <v>532</v>
      </c>
      <c r="AE72" s="1138">
        <f t="shared" si="13"/>
        <v>4</v>
      </c>
      <c r="AF72" s="1139">
        <f t="shared" si="13"/>
        <v>0</v>
      </c>
      <c r="AG72" s="1138" t="s">
        <v>26</v>
      </c>
      <c r="AH72" s="1138">
        <f t="shared" si="14"/>
        <v>532</v>
      </c>
      <c r="AI72" s="1139">
        <f t="shared" si="14"/>
        <v>0</v>
      </c>
      <c r="AJ72" s="1138" t="str">
        <f t="shared" si="15"/>
        <v>답이익순</v>
      </c>
      <c r="AK72" s="1138" t="str">
        <f t="shared" si="16"/>
        <v>답공</v>
      </c>
      <c r="AL72" s="66"/>
      <c r="AM72" s="66"/>
    </row>
    <row r="73" spans="1:39" s="67" customFormat="1" ht="24.95" customHeight="1" x14ac:dyDescent="0.15">
      <c r="A73" s="348">
        <v>65</v>
      </c>
      <c r="B73" s="222" t="s">
        <v>231</v>
      </c>
      <c r="C73" s="1016" t="s">
        <v>552</v>
      </c>
      <c r="D73" s="1016" t="s">
        <v>154</v>
      </c>
      <c r="E73" s="1033">
        <v>2617</v>
      </c>
      <c r="F73" s="1033">
        <v>66</v>
      </c>
      <c r="G73" s="417"/>
      <c r="H73" s="1025" t="s">
        <v>552</v>
      </c>
      <c r="I73" s="1025" t="s">
        <v>154</v>
      </c>
      <c r="J73" s="1036">
        <v>2617</v>
      </c>
      <c r="K73" s="1036">
        <v>66</v>
      </c>
      <c r="L73" s="1016" t="s">
        <v>155</v>
      </c>
      <c r="M73" s="1016" t="s">
        <v>188</v>
      </c>
      <c r="N73" s="1025" t="s">
        <v>155</v>
      </c>
      <c r="O73" s="1025" t="s">
        <v>188</v>
      </c>
      <c r="P73" s="203"/>
      <c r="Q73" s="203"/>
      <c r="R73" s="203"/>
      <c r="S73" s="342"/>
      <c r="T73" s="1138" t="s">
        <v>31</v>
      </c>
      <c r="U73" s="1138">
        <f>COUNTIF(D69:D88,"도")</f>
        <v>2</v>
      </c>
      <c r="V73" s="1139">
        <f>COUNTIF(I69:I88,"도")</f>
        <v>2</v>
      </c>
      <c r="W73" s="1138" t="s">
        <v>26</v>
      </c>
      <c r="X73" s="1138">
        <f>SUMIF(D69:D88,"도",F69:F88)</f>
        <v>99</v>
      </c>
      <c r="Y73" s="1139">
        <f>SUMIF(I69:I88,"도",K69:K88)</f>
        <v>99</v>
      </c>
      <c r="Z73" s="1138">
        <f>COUNTIF(AJ69:AJ88,"도국")+COUNTIF(AJ69:AJ88,"도공")</f>
        <v>1</v>
      </c>
      <c r="AA73" s="1139">
        <f>COUNTIF(AK69:AK88,"도국")+COUNTIF(AK69:AK88,"도공")</f>
        <v>2</v>
      </c>
      <c r="AB73" s="1138" t="s">
        <v>26</v>
      </c>
      <c r="AC73" s="1138">
        <f>SUMIF(AJ69:AJ88,"도국",F69:F88)+SUMIF(AJ69:AJ88,"도공",F69:F88)</f>
        <v>66</v>
      </c>
      <c r="AD73" s="1139">
        <f>SUMIF(AK69:AK88,"도국",K69:K88)+SUMIF(AK69:AK88,"도공",K69:K88)</f>
        <v>99</v>
      </c>
      <c r="AE73" s="1138">
        <f t="shared" si="13"/>
        <v>1</v>
      </c>
      <c r="AF73" s="1139">
        <f t="shared" si="13"/>
        <v>0</v>
      </c>
      <c r="AG73" s="1138" t="s">
        <v>26</v>
      </c>
      <c r="AH73" s="1138">
        <f t="shared" si="14"/>
        <v>33</v>
      </c>
      <c r="AI73" s="1139">
        <f t="shared" si="14"/>
        <v>0</v>
      </c>
      <c r="AJ73" s="1138" t="str">
        <f t="shared" si="15"/>
        <v>도국</v>
      </c>
      <c r="AK73" s="1138" t="str">
        <f t="shared" si="16"/>
        <v>도국</v>
      </c>
      <c r="AL73" s="66"/>
      <c r="AM73" s="66"/>
    </row>
    <row r="74" spans="1:39" s="67" customFormat="1" ht="24.95" customHeight="1" x14ac:dyDescent="0.15">
      <c r="A74" s="348">
        <v>66</v>
      </c>
      <c r="B74" s="222" t="s">
        <v>231</v>
      </c>
      <c r="C74" s="1016" t="s">
        <v>553</v>
      </c>
      <c r="D74" s="1016" t="s">
        <v>28</v>
      </c>
      <c r="E74" s="1033">
        <v>1816</v>
      </c>
      <c r="F74" s="1033">
        <v>1816</v>
      </c>
      <c r="G74" s="417"/>
      <c r="H74" s="1025" t="s">
        <v>553</v>
      </c>
      <c r="I74" s="1025" t="s">
        <v>28</v>
      </c>
      <c r="J74" s="1036">
        <v>1816</v>
      </c>
      <c r="K74" s="1036">
        <v>1816</v>
      </c>
      <c r="L74" s="1016" t="s">
        <v>572</v>
      </c>
      <c r="M74" s="1016" t="s">
        <v>573</v>
      </c>
      <c r="N74" s="1025" t="s">
        <v>660</v>
      </c>
      <c r="O74" s="1025" t="s">
        <v>669</v>
      </c>
      <c r="P74" s="102"/>
      <c r="Q74" s="102"/>
      <c r="R74" s="102"/>
      <c r="S74" s="342"/>
      <c r="T74" s="1138" t="s">
        <v>32</v>
      </c>
      <c r="U74" s="1140">
        <f>COUNTIF(D69:D88,"천")</f>
        <v>0</v>
      </c>
      <c r="V74" s="1141">
        <f>COUNTIF(I69:I88,"천")</f>
        <v>0</v>
      </c>
      <c r="W74" s="1138" t="s">
        <v>26</v>
      </c>
      <c r="X74" s="1138">
        <f>SUMIF(D69:D88,"천",F69:F88)</f>
        <v>0</v>
      </c>
      <c r="Y74" s="1139">
        <f>SUMIF(I69:I88,"천",K69:K88)</f>
        <v>0</v>
      </c>
      <c r="Z74" s="1138">
        <f>COUNTIF(AJ69:AJ88,"천국")+COUNTIF(AJ69:AJ88,"천공")</f>
        <v>0</v>
      </c>
      <c r="AA74" s="1139">
        <f>COUNTIF(AK69:AK88,"천국")+COUNTIF(AK69:AK88,"천공")</f>
        <v>0</v>
      </c>
      <c r="AB74" s="1138" t="s">
        <v>26</v>
      </c>
      <c r="AC74" s="1138">
        <f>SUMIF(AJ69:AJ88,"천국",F69:F88)+SUMIF(AJ69:AJ88,"천공",F69:F88)</f>
        <v>0</v>
      </c>
      <c r="AD74" s="1139">
        <f>SUMIF(AK69:AK88,"천국",K69:K88)+SUMIF(AK69:AK88,"천공",K69:K88)</f>
        <v>0</v>
      </c>
      <c r="AE74" s="1138">
        <f t="shared" si="13"/>
        <v>0</v>
      </c>
      <c r="AF74" s="1139">
        <f t="shared" si="13"/>
        <v>0</v>
      </c>
      <c r="AG74" s="1138" t="s">
        <v>26</v>
      </c>
      <c r="AH74" s="1138">
        <f t="shared" si="14"/>
        <v>0</v>
      </c>
      <c r="AI74" s="1139">
        <f t="shared" si="14"/>
        <v>0</v>
      </c>
      <c r="AJ74" s="1138" t="str">
        <f t="shared" si="15"/>
        <v>답최흥보</v>
      </c>
      <c r="AK74" s="1138" t="str">
        <f t="shared" si="16"/>
        <v>답공</v>
      </c>
      <c r="AL74" s="66"/>
      <c r="AM74" s="66"/>
    </row>
    <row r="75" spans="1:39" s="67" customFormat="1" ht="24.95" customHeight="1" x14ac:dyDescent="0.15">
      <c r="A75" s="348">
        <v>67</v>
      </c>
      <c r="B75" s="222" t="s">
        <v>231</v>
      </c>
      <c r="C75" s="1016" t="s">
        <v>554</v>
      </c>
      <c r="D75" s="1016" t="s">
        <v>28</v>
      </c>
      <c r="E75" s="1033">
        <v>914</v>
      </c>
      <c r="F75" s="1033">
        <v>914</v>
      </c>
      <c r="G75" s="417"/>
      <c r="H75" s="1025" t="s">
        <v>554</v>
      </c>
      <c r="I75" s="1025" t="s">
        <v>28</v>
      </c>
      <c r="J75" s="1036">
        <v>914</v>
      </c>
      <c r="K75" s="1036">
        <v>914</v>
      </c>
      <c r="L75" s="1016" t="s">
        <v>574</v>
      </c>
      <c r="M75" s="1016" t="s">
        <v>575</v>
      </c>
      <c r="N75" s="1025" t="s">
        <v>660</v>
      </c>
      <c r="O75" s="1025" t="s">
        <v>669</v>
      </c>
      <c r="P75" s="370"/>
      <c r="Q75" s="370"/>
      <c r="R75" s="370"/>
      <c r="S75" s="342"/>
      <c r="T75" s="1138" t="s">
        <v>33</v>
      </c>
      <c r="U75" s="1138">
        <f>COUNTIF(D69:D88,"구")</f>
        <v>1</v>
      </c>
      <c r="V75" s="1139">
        <f>COUNTIF(I69:I88,"구")</f>
        <v>1</v>
      </c>
      <c r="W75" s="1138" t="s">
        <v>26</v>
      </c>
      <c r="X75" s="1138">
        <f>SUMIF(D69:D88,"구",F69:F88)</f>
        <v>68</v>
      </c>
      <c r="Y75" s="1139">
        <f>SUMIF(I69:I88,"구",K69:K88)</f>
        <v>68</v>
      </c>
      <c r="Z75" s="1138">
        <f>COUNTIF(AJ69:AJ88,"구국")+COUNTIF(AJ69:AJ88,"구공")</f>
        <v>1</v>
      </c>
      <c r="AA75" s="1139">
        <f>COUNTIF(AK69:AK88,"구국")+COUNTIF(AK69:AK88,"구공")</f>
        <v>1</v>
      </c>
      <c r="AB75" s="1138" t="s">
        <v>26</v>
      </c>
      <c r="AC75" s="1138">
        <f>SUMIF(AJ69:AJ88,"구국",F69:F88)+SUMIF(AJ69:AJ88,"구공",F69:F88)</f>
        <v>68</v>
      </c>
      <c r="AD75" s="1139">
        <f>SUMIF(AK69:AK88,"구국",K69:K88)+SUMIF(AK69:AK88,"구공",K69:K88)</f>
        <v>68</v>
      </c>
      <c r="AE75" s="1138">
        <f t="shared" si="13"/>
        <v>0</v>
      </c>
      <c r="AF75" s="1139">
        <f t="shared" si="13"/>
        <v>0</v>
      </c>
      <c r="AG75" s="1138" t="s">
        <v>26</v>
      </c>
      <c r="AH75" s="1138">
        <f t="shared" si="14"/>
        <v>0</v>
      </c>
      <c r="AI75" s="1139">
        <f t="shared" si="14"/>
        <v>0</v>
      </c>
      <c r="AJ75" s="1138" t="str">
        <f t="shared" si="15"/>
        <v>답이석봉</v>
      </c>
      <c r="AK75" s="1138" t="str">
        <f t="shared" si="16"/>
        <v>답공</v>
      </c>
      <c r="AL75" s="66"/>
      <c r="AM75" s="66"/>
    </row>
    <row r="76" spans="1:39" s="67" customFormat="1" ht="24.95" customHeight="1" x14ac:dyDescent="0.15">
      <c r="A76" s="348">
        <v>68</v>
      </c>
      <c r="B76" s="222" t="s">
        <v>231</v>
      </c>
      <c r="C76" s="1016" t="s">
        <v>555</v>
      </c>
      <c r="D76" s="1016" t="s">
        <v>28</v>
      </c>
      <c r="E76" s="1033">
        <v>272</v>
      </c>
      <c r="F76" s="1033">
        <v>272</v>
      </c>
      <c r="G76" s="417"/>
      <c r="H76" s="1025" t="s">
        <v>555</v>
      </c>
      <c r="I76" s="1025" t="s">
        <v>28</v>
      </c>
      <c r="J76" s="1036">
        <v>272</v>
      </c>
      <c r="K76" s="1036">
        <v>272</v>
      </c>
      <c r="L76" s="1016" t="s">
        <v>574</v>
      </c>
      <c r="M76" s="1016" t="s">
        <v>576</v>
      </c>
      <c r="N76" s="1025" t="s">
        <v>660</v>
      </c>
      <c r="O76" s="1025" t="s">
        <v>669</v>
      </c>
      <c r="P76" s="203"/>
      <c r="Q76" s="203"/>
      <c r="R76" s="203"/>
      <c r="S76" s="342"/>
      <c r="T76" s="1138" t="s">
        <v>34</v>
      </c>
      <c r="U76" s="1138">
        <f>COUNTIF(D69:D88,"제")</f>
        <v>0</v>
      </c>
      <c r="V76" s="1139">
        <f>COUNTIF(I69:I88,"제")</f>
        <v>0</v>
      </c>
      <c r="W76" s="1138" t="s">
        <v>26</v>
      </c>
      <c r="X76" s="1138">
        <f>SUMIF(D69:D88,"제",F69:F88)</f>
        <v>0</v>
      </c>
      <c r="Y76" s="1139">
        <f>SUMIF(I69:I88,"제",K69:K88)</f>
        <v>0</v>
      </c>
      <c r="Z76" s="1138">
        <f>COUNTIF(AJ69:AJ88,"제국")+COUNTIF(AJ69:AJ88,"제공")</f>
        <v>0</v>
      </c>
      <c r="AA76" s="1139">
        <f>COUNTIF(AK69:AK88,"제국")+COUNTIF(AK69:AK88,"제공")</f>
        <v>0</v>
      </c>
      <c r="AB76" s="1138" t="s">
        <v>26</v>
      </c>
      <c r="AC76" s="1138">
        <f>SUMIF(AJ69:AJ88,"제국",F69:F88)+SUMIF(AJ69:AJ88,"제공",F69:F88)</f>
        <v>0</v>
      </c>
      <c r="AD76" s="1139">
        <f>SUMIF(AK69:AK88,"제국",K69:K88)+SUMIF(AK69:AK88,"제공",K69:K88)</f>
        <v>0</v>
      </c>
      <c r="AE76" s="1138">
        <f t="shared" si="13"/>
        <v>0</v>
      </c>
      <c r="AF76" s="1139">
        <f t="shared" si="13"/>
        <v>0</v>
      </c>
      <c r="AG76" s="1138" t="s">
        <v>26</v>
      </c>
      <c r="AH76" s="1138">
        <f t="shared" si="14"/>
        <v>0</v>
      </c>
      <c r="AI76" s="1139">
        <f t="shared" si="14"/>
        <v>0</v>
      </c>
      <c r="AJ76" s="1138" t="str">
        <f t="shared" si="15"/>
        <v>답이석봉</v>
      </c>
      <c r="AK76" s="1138" t="str">
        <f t="shared" si="16"/>
        <v>답공</v>
      </c>
      <c r="AL76" s="66"/>
      <c r="AM76" s="66"/>
    </row>
    <row r="77" spans="1:39" s="67" customFormat="1" ht="24.95" customHeight="1" x14ac:dyDescent="0.15">
      <c r="A77" s="348">
        <v>69</v>
      </c>
      <c r="B77" s="222" t="s">
        <v>231</v>
      </c>
      <c r="C77" s="1016" t="s">
        <v>556</v>
      </c>
      <c r="D77" s="1016" t="s">
        <v>28</v>
      </c>
      <c r="E77" s="1033">
        <v>844</v>
      </c>
      <c r="F77" s="1033">
        <v>844</v>
      </c>
      <c r="G77" s="417"/>
      <c r="H77" s="1025" t="s">
        <v>556</v>
      </c>
      <c r="I77" s="1025" t="s">
        <v>28</v>
      </c>
      <c r="J77" s="1036">
        <v>844</v>
      </c>
      <c r="K77" s="1036">
        <v>844</v>
      </c>
      <c r="L77" s="1016" t="s">
        <v>574</v>
      </c>
      <c r="M77" s="1016" t="s">
        <v>575</v>
      </c>
      <c r="N77" s="1025" t="s">
        <v>660</v>
      </c>
      <c r="O77" s="1025" t="s">
        <v>669</v>
      </c>
      <c r="P77" s="207"/>
      <c r="Q77" s="207"/>
      <c r="R77" s="207"/>
      <c r="S77" s="342"/>
      <c r="T77" s="1138" t="s">
        <v>46</v>
      </c>
      <c r="U77" s="1138">
        <f>COUNTIF(D69:D88,"유")</f>
        <v>0</v>
      </c>
      <c r="V77" s="1139">
        <f>COUNTIF(I69:I88,"유")</f>
        <v>0</v>
      </c>
      <c r="W77" s="1138" t="s">
        <v>26</v>
      </c>
      <c r="X77" s="1138">
        <f>SUMIF(D69:D88,"유",F69:F88)</f>
        <v>0</v>
      </c>
      <c r="Y77" s="1139">
        <f>SUMIF(I69:I88,"유",K69:K88)</f>
        <v>0</v>
      </c>
      <c r="Z77" s="1138">
        <f>COUNTIF(AJ69:AJ88,"유국")+COUNTIF(AJ69:AJ88,"유공")</f>
        <v>0</v>
      </c>
      <c r="AA77" s="1139">
        <f>COUNTIF(AK69:AK88,"유국")+COUNTIF(AK69:AK88,"유공")</f>
        <v>0</v>
      </c>
      <c r="AB77" s="1138" t="s">
        <v>26</v>
      </c>
      <c r="AC77" s="1138">
        <f>SUMIF(AJ69:AJ88,"유국",F69:F88)+SUMIF(AJ69:AJ88,"유공",F69:F88)</f>
        <v>0</v>
      </c>
      <c r="AD77" s="1139">
        <f>SUMIF(AK69:AK88,"유국",K69:K88)+SUMIF(AK69:AK88,"유공",K69:K88)</f>
        <v>0</v>
      </c>
      <c r="AE77" s="1138">
        <f t="shared" si="13"/>
        <v>0</v>
      </c>
      <c r="AF77" s="1139">
        <f t="shared" si="13"/>
        <v>0</v>
      </c>
      <c r="AG77" s="1138" t="s">
        <v>26</v>
      </c>
      <c r="AH77" s="1138">
        <f t="shared" si="14"/>
        <v>0</v>
      </c>
      <c r="AI77" s="1139">
        <f t="shared" si="14"/>
        <v>0</v>
      </c>
      <c r="AJ77" s="1138" t="str">
        <f t="shared" si="15"/>
        <v>답이석봉</v>
      </c>
      <c r="AK77" s="1138" t="str">
        <f t="shared" si="16"/>
        <v>답공</v>
      </c>
      <c r="AL77" s="66"/>
      <c r="AM77" s="66"/>
    </row>
    <row r="78" spans="1:39" s="67" customFormat="1" ht="24.95" customHeight="1" x14ac:dyDescent="0.15">
      <c r="A78" s="348">
        <v>70</v>
      </c>
      <c r="B78" s="222" t="s">
        <v>231</v>
      </c>
      <c r="C78" s="1016" t="s">
        <v>557</v>
      </c>
      <c r="D78" s="1016" t="s">
        <v>558</v>
      </c>
      <c r="E78" s="1033">
        <v>287</v>
      </c>
      <c r="F78" s="1033">
        <v>287</v>
      </c>
      <c r="G78" s="417"/>
      <c r="H78" s="1025" t="s">
        <v>557</v>
      </c>
      <c r="I78" s="1025" t="s">
        <v>558</v>
      </c>
      <c r="J78" s="1036">
        <v>287</v>
      </c>
      <c r="K78" s="1036">
        <v>287</v>
      </c>
      <c r="L78" s="1016" t="s">
        <v>574</v>
      </c>
      <c r="M78" s="1016" t="s">
        <v>575</v>
      </c>
      <c r="N78" s="1025" t="s">
        <v>661</v>
      </c>
      <c r="O78" s="1025" t="s">
        <v>669</v>
      </c>
      <c r="P78" s="102"/>
      <c r="Q78" s="102"/>
      <c r="R78" s="102"/>
      <c r="S78" s="342"/>
      <c r="T78" s="1138" t="s">
        <v>47</v>
      </c>
      <c r="U78" s="1138">
        <f>COUNTIF(D69:D88,"과")</f>
        <v>0</v>
      </c>
      <c r="V78" s="1139">
        <f>COUNTIF(I69:I88,"과")</f>
        <v>0</v>
      </c>
      <c r="W78" s="1138" t="s">
        <v>26</v>
      </c>
      <c r="X78" s="1138">
        <f>SUMIF(D69:D88,"과",F69:F88)</f>
        <v>0</v>
      </c>
      <c r="Y78" s="1139">
        <f>SUMIF(I69:I88,"과",K69:K88)</f>
        <v>0</v>
      </c>
      <c r="Z78" s="1138">
        <f>COUNTIF(AJ69:AJ88,"과국")+COUNTIF(AJ69:AJ88,"과공")</f>
        <v>0</v>
      </c>
      <c r="AA78" s="1139">
        <f>COUNTIF(AK69:AK88,"과국")+COUNTIF(AK69:AK88,"과공")</f>
        <v>0</v>
      </c>
      <c r="AB78" s="1138" t="s">
        <v>26</v>
      </c>
      <c r="AC78" s="1138">
        <f>SUMIF(AJ69:AJ88,"과국",F69:F88)+SUMIF(AJ69:AJ88,"과공",F69:F88)</f>
        <v>0</v>
      </c>
      <c r="AD78" s="1139">
        <f>SUMIF(AK69:AK88,"과국",K69:K88)+SUMIF(AK69:AK88,"과공",K69:K88)</f>
        <v>0</v>
      </c>
      <c r="AE78" s="1138">
        <f t="shared" si="13"/>
        <v>0</v>
      </c>
      <c r="AF78" s="1139">
        <f t="shared" si="13"/>
        <v>0</v>
      </c>
      <c r="AG78" s="1138" t="s">
        <v>26</v>
      </c>
      <c r="AH78" s="1138">
        <f t="shared" si="14"/>
        <v>0</v>
      </c>
      <c r="AI78" s="1139">
        <f t="shared" si="14"/>
        <v>0</v>
      </c>
      <c r="AJ78" s="1138" t="str">
        <f t="shared" si="15"/>
        <v>창이석봉</v>
      </c>
      <c r="AK78" s="1138" t="str">
        <f t="shared" si="16"/>
        <v>창공</v>
      </c>
      <c r="AL78" s="66"/>
      <c r="AM78" s="66"/>
    </row>
    <row r="79" spans="1:39" s="67" customFormat="1" ht="24.95" customHeight="1" x14ac:dyDescent="0.15">
      <c r="A79" s="348">
        <v>71</v>
      </c>
      <c r="B79" s="222" t="s">
        <v>231</v>
      </c>
      <c r="C79" s="1016" t="s">
        <v>559</v>
      </c>
      <c r="D79" s="1016" t="s">
        <v>156</v>
      </c>
      <c r="E79" s="1033">
        <v>155</v>
      </c>
      <c r="F79" s="1033">
        <v>155</v>
      </c>
      <c r="G79" s="417"/>
      <c r="H79" s="1025" t="s">
        <v>559</v>
      </c>
      <c r="I79" s="1025" t="s">
        <v>156</v>
      </c>
      <c r="J79" s="1036">
        <v>155</v>
      </c>
      <c r="K79" s="1036">
        <v>155</v>
      </c>
      <c r="L79" s="1016" t="s">
        <v>574</v>
      </c>
      <c r="M79" s="1016" t="s">
        <v>575</v>
      </c>
      <c r="N79" s="1025" t="s">
        <v>660</v>
      </c>
      <c r="O79" s="1025" t="s">
        <v>669</v>
      </c>
      <c r="P79" s="155"/>
      <c r="Q79" s="155"/>
      <c r="R79" s="155"/>
      <c r="S79" s="342"/>
      <c r="T79" s="1138" t="s">
        <v>36</v>
      </c>
      <c r="U79" s="1138">
        <f>COUNTIF(D69:D88,"묘")</f>
        <v>0</v>
      </c>
      <c r="V79" s="1139">
        <f>COUNTIF(I69:I88,"묘")</f>
        <v>0</v>
      </c>
      <c r="W79" s="1138" t="s">
        <v>26</v>
      </c>
      <c r="X79" s="1138">
        <f>SUMIF(D69:D88,"묘",F69:F88)</f>
        <v>0</v>
      </c>
      <c r="Y79" s="1139">
        <f>SUMIF(I69:I88,"묘",K69:K88)</f>
        <v>0</v>
      </c>
      <c r="Z79" s="1138">
        <f>COUNTIF(AJ69:AJ88,"묘국")+COUNTIF(AJ69:AJ88,"묘공")</f>
        <v>0</v>
      </c>
      <c r="AA79" s="1139">
        <f>COUNTIF(AK69:AK88,"묘국")+COUNTIF(AK69:AK88,"묘공")</f>
        <v>0</v>
      </c>
      <c r="AB79" s="1138" t="s">
        <v>26</v>
      </c>
      <c r="AC79" s="1138">
        <f>SUMIF(AJ69:AJ88,"묘국",F69:F88)+SUMIF(AJ69:AJ88,"묘공",F69:F88)</f>
        <v>0</v>
      </c>
      <c r="AD79" s="1139">
        <f>SUMIF(AK69:AK88,"묘국",K69:K88)+SUMIF(AK69:AK88,"묘공",K69:K88)</f>
        <v>0</v>
      </c>
      <c r="AE79" s="1138">
        <f t="shared" si="13"/>
        <v>0</v>
      </c>
      <c r="AF79" s="1139">
        <f t="shared" si="13"/>
        <v>0</v>
      </c>
      <c r="AG79" s="1138" t="s">
        <v>26</v>
      </c>
      <c r="AH79" s="1138">
        <f t="shared" si="14"/>
        <v>0</v>
      </c>
      <c r="AI79" s="1139">
        <f t="shared" si="14"/>
        <v>0</v>
      </c>
      <c r="AJ79" s="1138" t="str">
        <f t="shared" si="15"/>
        <v>대이석봉</v>
      </c>
      <c r="AK79" s="1138" t="str">
        <f t="shared" si="16"/>
        <v>대공</v>
      </c>
      <c r="AL79" s="66"/>
      <c r="AM79" s="66"/>
    </row>
    <row r="80" spans="1:39" s="67" customFormat="1" ht="24.95" customHeight="1" x14ac:dyDescent="0.15">
      <c r="A80" s="348">
        <v>72</v>
      </c>
      <c r="B80" s="222" t="s">
        <v>231</v>
      </c>
      <c r="C80" s="1016" t="s">
        <v>560</v>
      </c>
      <c r="D80" s="1016" t="s">
        <v>27</v>
      </c>
      <c r="E80" s="1033">
        <v>109</v>
      </c>
      <c r="F80" s="1033">
        <v>109</v>
      </c>
      <c r="G80" s="417"/>
      <c r="H80" s="1025" t="s">
        <v>560</v>
      </c>
      <c r="I80" s="1025" t="s">
        <v>27</v>
      </c>
      <c r="J80" s="1036">
        <v>109</v>
      </c>
      <c r="K80" s="1036">
        <v>109</v>
      </c>
      <c r="L80" s="1016" t="s">
        <v>577</v>
      </c>
      <c r="M80" s="1016" t="s">
        <v>578</v>
      </c>
      <c r="N80" s="1025" t="s">
        <v>660</v>
      </c>
      <c r="O80" s="1025" t="s">
        <v>669</v>
      </c>
      <c r="P80" s="102"/>
      <c r="Q80" s="102"/>
      <c r="R80" s="102"/>
      <c r="S80" s="342"/>
      <c r="T80" s="1138" t="s">
        <v>39</v>
      </c>
      <c r="U80" s="1138">
        <f>COUNTIF(D69:D88,"수")</f>
        <v>0</v>
      </c>
      <c r="V80" s="1139">
        <f>COUNTIF(I69:I88,"수")</f>
        <v>0</v>
      </c>
      <c r="W80" s="1138" t="s">
        <v>26</v>
      </c>
      <c r="X80" s="1138">
        <f>SUMIF(D69:D88,"수",F69:F88)</f>
        <v>0</v>
      </c>
      <c r="Y80" s="1139">
        <f>SUMIF(I69:I88,"수",K69:K88)</f>
        <v>0</v>
      </c>
      <c r="Z80" s="1138">
        <f>COUNTIF(AJ69:AJ88,"수국")+COUNTIF(AJ69:AJ88,"수공")</f>
        <v>0</v>
      </c>
      <c r="AA80" s="1139">
        <f>COUNTIF(AK69:AK88,"수국")+COUNTIF(AK69:AK88,"수공")</f>
        <v>0</v>
      </c>
      <c r="AB80" s="1138" t="s">
        <v>26</v>
      </c>
      <c r="AC80" s="1138">
        <f>SUMIF(AJ69:AJ88,"수국",F69:F88)+SUMIF(AJ69:AJ88,"수공",F69:F88)</f>
        <v>0</v>
      </c>
      <c r="AD80" s="1139">
        <f>SUMIF(AK69:AK88,"수국",K69:K88)+SUMIF(AK69:AK88,"수공",K69:K88)</f>
        <v>0</v>
      </c>
      <c r="AE80" s="1138">
        <f t="shared" si="13"/>
        <v>0</v>
      </c>
      <c r="AF80" s="1139">
        <f t="shared" si="13"/>
        <v>0</v>
      </c>
      <c r="AG80" s="1138" t="s">
        <v>26</v>
      </c>
      <c r="AH80" s="1138">
        <f t="shared" si="14"/>
        <v>0</v>
      </c>
      <c r="AI80" s="1139">
        <f t="shared" si="14"/>
        <v>0</v>
      </c>
      <c r="AJ80" s="1138" t="str">
        <f t="shared" si="15"/>
        <v>전엄금순</v>
      </c>
      <c r="AK80" s="1138" t="str">
        <f t="shared" si="16"/>
        <v>전공</v>
      </c>
      <c r="AL80" s="66"/>
      <c r="AM80" s="66"/>
    </row>
    <row r="81" spans="1:39" s="67" customFormat="1" ht="24.95" customHeight="1" x14ac:dyDescent="0.15">
      <c r="A81" s="348">
        <v>73</v>
      </c>
      <c r="B81" s="222" t="s">
        <v>231</v>
      </c>
      <c r="C81" s="1016" t="s">
        <v>561</v>
      </c>
      <c r="D81" s="1016" t="s">
        <v>27</v>
      </c>
      <c r="E81" s="1033">
        <v>299</v>
      </c>
      <c r="F81" s="1033">
        <v>299</v>
      </c>
      <c r="G81" s="417"/>
      <c r="H81" s="1025" t="s">
        <v>561</v>
      </c>
      <c r="I81" s="1025" t="s">
        <v>27</v>
      </c>
      <c r="J81" s="1036">
        <v>299</v>
      </c>
      <c r="K81" s="1036">
        <v>299</v>
      </c>
      <c r="L81" s="1016" t="s">
        <v>577</v>
      </c>
      <c r="M81" s="1016" t="s">
        <v>578</v>
      </c>
      <c r="N81" s="1025" t="s">
        <v>660</v>
      </c>
      <c r="O81" s="1025" t="s">
        <v>669</v>
      </c>
      <c r="P81" s="155"/>
      <c r="Q81" s="155"/>
      <c r="R81" s="155"/>
      <c r="S81" s="342"/>
      <c r="T81" s="1138" t="s">
        <v>35</v>
      </c>
      <c r="U81" s="1138">
        <f>COUNTIF(D69:D88,"잡")</f>
        <v>0</v>
      </c>
      <c r="V81" s="1139">
        <f>COUNTIF(I69:I88,"잡")</f>
        <v>0</v>
      </c>
      <c r="W81" s="1138" t="s">
        <v>26</v>
      </c>
      <c r="X81" s="1138">
        <f>SUMIF(D69:D88,"잡",F69:F88)</f>
        <v>0</v>
      </c>
      <c r="Y81" s="1139">
        <f>SUMIF(I69:I88,"잡",K69:K88)</f>
        <v>0</v>
      </c>
      <c r="Z81" s="1138">
        <f>COUNTIF(AJ69:AJ88,"잡국")+COUNTIF(AJ69:AJ88,"잡공")</f>
        <v>0</v>
      </c>
      <c r="AA81" s="1139">
        <f>COUNTIF(AK69:AK88,"잡국")+COUNTIF(AK69:AK88,"잡공")</f>
        <v>0</v>
      </c>
      <c r="AB81" s="1138" t="s">
        <v>26</v>
      </c>
      <c r="AC81" s="1138">
        <f>SUMIF(AJ69:AJ88,"잡국",F69:F88)+SUMIF(AJ69:AJ88,"잡공",F69:F88)</f>
        <v>0</v>
      </c>
      <c r="AD81" s="1139">
        <f>SUMIF(AK69:AK88,"잡국",K69:K88)+SUMIF(AK69:AK88,"잡공",K69:K88)</f>
        <v>0</v>
      </c>
      <c r="AE81" s="1138">
        <f t="shared" si="13"/>
        <v>0</v>
      </c>
      <c r="AF81" s="1139">
        <f t="shared" si="13"/>
        <v>0</v>
      </c>
      <c r="AG81" s="1138" t="s">
        <v>26</v>
      </c>
      <c r="AH81" s="1138">
        <f t="shared" si="14"/>
        <v>0</v>
      </c>
      <c r="AI81" s="1139">
        <f t="shared" si="14"/>
        <v>0</v>
      </c>
      <c r="AJ81" s="1138" t="str">
        <f t="shared" si="15"/>
        <v>전엄금순</v>
      </c>
      <c r="AK81" s="1138" t="str">
        <f t="shared" si="16"/>
        <v>전공</v>
      </c>
      <c r="AL81" s="66"/>
      <c r="AM81" s="66"/>
    </row>
    <row r="82" spans="1:39" s="67" customFormat="1" ht="24.95" customHeight="1" x14ac:dyDescent="0.15">
      <c r="A82" s="348">
        <v>74</v>
      </c>
      <c r="B82" s="222" t="s">
        <v>231</v>
      </c>
      <c r="C82" s="1016" t="s">
        <v>562</v>
      </c>
      <c r="D82" s="1016" t="s">
        <v>156</v>
      </c>
      <c r="E82" s="1033">
        <v>98</v>
      </c>
      <c r="F82" s="1033">
        <v>98</v>
      </c>
      <c r="G82" s="417"/>
      <c r="H82" s="1025" t="s">
        <v>562</v>
      </c>
      <c r="I82" s="1025" t="s">
        <v>156</v>
      </c>
      <c r="J82" s="1036">
        <v>98</v>
      </c>
      <c r="K82" s="1036">
        <v>98</v>
      </c>
      <c r="L82" s="1016" t="s">
        <v>579</v>
      </c>
      <c r="M82" s="1016" t="s">
        <v>580</v>
      </c>
      <c r="N82" s="1025" t="s">
        <v>660</v>
      </c>
      <c r="O82" s="1025" t="s">
        <v>669</v>
      </c>
      <c r="P82" s="102"/>
      <c r="Q82" s="102"/>
      <c r="R82" s="102"/>
      <c r="S82" s="345"/>
      <c r="T82" s="1138" t="s">
        <v>220</v>
      </c>
      <c r="U82" s="1138">
        <f>COUNTIF(D69:D88,"창")</f>
        <v>1</v>
      </c>
      <c r="V82" s="1139">
        <f>COUNTIF(I69:I88,"창")</f>
        <v>1</v>
      </c>
      <c r="W82" s="1138" t="s">
        <v>26</v>
      </c>
      <c r="X82" s="1138">
        <f>SUMIF(D69:D88,"창",F69:F88)</f>
        <v>287</v>
      </c>
      <c r="Y82" s="1139">
        <f>SUMIF(I69:I88,"창",K69:K88)</f>
        <v>287</v>
      </c>
      <c r="Z82" s="1138">
        <f>COUNTIF(AJ69:AJ88,"창국")+COUNTIF(AJ69:AJ88,"창공")</f>
        <v>0</v>
      </c>
      <c r="AA82" s="1139">
        <f>COUNTIF(AK69:AK88,"창국")+COUNTIF(AK69:AK88,"창공")</f>
        <v>1</v>
      </c>
      <c r="AB82" s="1138" t="s">
        <v>26</v>
      </c>
      <c r="AC82" s="1138">
        <f>SUMIF(AJ69:AJ88,"창국",F69:F88)+SUMIF(AJ69:AJ88,"창공",F69:F88)</f>
        <v>0</v>
      </c>
      <c r="AD82" s="1139">
        <f>SUMIF(AK69:AK88,"창국",K69:K88)+SUMIF(AK69:AK88,"창공",K69:K88)</f>
        <v>287</v>
      </c>
      <c r="AE82" s="1138">
        <f t="shared" si="13"/>
        <v>1</v>
      </c>
      <c r="AF82" s="1139">
        <f t="shared" si="13"/>
        <v>0</v>
      </c>
      <c r="AG82" s="1138" t="s">
        <v>26</v>
      </c>
      <c r="AH82" s="1138">
        <f t="shared" si="14"/>
        <v>287</v>
      </c>
      <c r="AI82" s="1139">
        <f t="shared" si="14"/>
        <v>0</v>
      </c>
      <c r="AJ82" s="1138" t="str">
        <f t="shared" si="15"/>
        <v>대한앵자</v>
      </c>
      <c r="AK82" s="1138" t="str">
        <f t="shared" si="16"/>
        <v>대공</v>
      </c>
      <c r="AL82" s="66"/>
      <c r="AM82" s="66"/>
    </row>
    <row r="83" spans="1:39" s="67" customFormat="1" ht="24.95" customHeight="1" thickBot="1" x14ac:dyDescent="0.2">
      <c r="A83" s="348">
        <v>75</v>
      </c>
      <c r="B83" s="222" t="s">
        <v>231</v>
      </c>
      <c r="C83" s="1016" t="s">
        <v>563</v>
      </c>
      <c r="D83" s="1016" t="s">
        <v>28</v>
      </c>
      <c r="E83" s="1033">
        <v>45</v>
      </c>
      <c r="F83" s="1033">
        <v>45</v>
      </c>
      <c r="G83" s="417"/>
      <c r="H83" s="1025" t="s">
        <v>563</v>
      </c>
      <c r="I83" s="1025" t="s">
        <v>28</v>
      </c>
      <c r="J83" s="1036">
        <v>45</v>
      </c>
      <c r="K83" s="1036">
        <v>45</v>
      </c>
      <c r="L83" s="1016" t="s">
        <v>572</v>
      </c>
      <c r="M83" s="1016" t="s">
        <v>573</v>
      </c>
      <c r="N83" s="1025" t="s">
        <v>660</v>
      </c>
      <c r="O83" s="1025" t="s">
        <v>669</v>
      </c>
      <c r="P83" s="155"/>
      <c r="Q83" s="155"/>
      <c r="R83" s="155"/>
      <c r="S83" s="345"/>
      <c r="T83" s="1138" t="s">
        <v>50</v>
      </c>
      <c r="U83" s="1138">
        <f>COUNTIF(D69:D88,"공")</f>
        <v>0</v>
      </c>
      <c r="V83" s="1139">
        <f>COUNTIF(I69:I88,"공")</f>
        <v>0</v>
      </c>
      <c r="W83" s="1138" t="s">
        <v>26</v>
      </c>
      <c r="X83" s="1138">
        <f>SUMIF(D69:D88,"공",F69:F88)</f>
        <v>0</v>
      </c>
      <c r="Y83" s="1139">
        <f>SUMIF(I69:I88,"공",K69:K88)</f>
        <v>0</v>
      </c>
      <c r="Z83" s="1138">
        <f>COUNTIF(AJ69:AJ88,"공국")+COUNTIF(AJ69:AJ88,"공공")</f>
        <v>0</v>
      </c>
      <c r="AA83" s="1139">
        <f>COUNTIF(AK69:AK88,"공국")+COUNTIF(AK69:AK88,"공공")</f>
        <v>0</v>
      </c>
      <c r="AB83" s="1138" t="s">
        <v>26</v>
      </c>
      <c r="AC83" s="1138">
        <f>SUMIF(AJ69:AJ88,"공국",F69:F88)+SUMIF(AJ69:AJ88,"공공",F69:F88)</f>
        <v>0</v>
      </c>
      <c r="AD83" s="1139">
        <f>SUMIF(AK69:AK88,"공국",K69:K88)+SUMIF(AK69:AK88,"공공",K69:K88)</f>
        <v>0</v>
      </c>
      <c r="AE83" s="1138">
        <f t="shared" si="13"/>
        <v>0</v>
      </c>
      <c r="AF83" s="1139">
        <f t="shared" si="13"/>
        <v>0</v>
      </c>
      <c r="AG83" s="1138" t="s">
        <v>26</v>
      </c>
      <c r="AH83" s="1138">
        <f t="shared" si="14"/>
        <v>0</v>
      </c>
      <c r="AI83" s="1139">
        <f t="shared" si="14"/>
        <v>0</v>
      </c>
      <c r="AJ83" s="1138" t="str">
        <f t="shared" si="15"/>
        <v>답최흥보</v>
      </c>
      <c r="AK83" s="1138" t="str">
        <f t="shared" si="16"/>
        <v>답공</v>
      </c>
      <c r="AL83" s="66"/>
      <c r="AM83" s="66"/>
    </row>
    <row r="84" spans="1:39" s="67" customFormat="1" ht="24.95" customHeight="1" x14ac:dyDescent="0.15">
      <c r="A84" s="348">
        <v>76</v>
      </c>
      <c r="B84" s="222" t="s">
        <v>231</v>
      </c>
      <c r="C84" s="1016" t="s">
        <v>583</v>
      </c>
      <c r="D84" s="1016" t="s">
        <v>27</v>
      </c>
      <c r="E84" s="1033">
        <v>94</v>
      </c>
      <c r="F84" s="1033">
        <v>94</v>
      </c>
      <c r="G84" s="488"/>
      <c r="H84" s="1025" t="s">
        <v>583</v>
      </c>
      <c r="I84" s="1025" t="s">
        <v>27</v>
      </c>
      <c r="J84" s="1036">
        <v>94</v>
      </c>
      <c r="K84" s="1036">
        <v>94</v>
      </c>
      <c r="L84" s="1016" t="s">
        <v>577</v>
      </c>
      <c r="M84" s="1016" t="s">
        <v>578</v>
      </c>
      <c r="N84" s="1025" t="s">
        <v>660</v>
      </c>
      <c r="O84" s="1025" t="s">
        <v>671</v>
      </c>
      <c r="P84" s="155"/>
      <c r="Q84" s="155"/>
      <c r="R84" s="155"/>
      <c r="S84" s="342"/>
      <c r="T84" s="1142" t="s">
        <v>219</v>
      </c>
      <c r="U84" s="1138">
        <f>COUNTIF(D69:D88,"주")</f>
        <v>0</v>
      </c>
      <c r="V84" s="1139">
        <f>COUNTIF(I69:I88,"주")</f>
        <v>0</v>
      </c>
      <c r="W84" s="1138" t="s">
        <v>26</v>
      </c>
      <c r="X84" s="1138">
        <f>SUMIF(D69:D88,"주",F69:F88)</f>
        <v>0</v>
      </c>
      <c r="Y84" s="1139">
        <f>SUMIF(I69:I88,"주",K69:K88)</f>
        <v>0</v>
      </c>
      <c r="Z84" s="1138">
        <f>COUNTIF(AJ69:AJ88,"주국")+COUNTIF(AJ69:AJ88,"주공")</f>
        <v>0</v>
      </c>
      <c r="AA84" s="1139">
        <f>COUNTIF(AK69:AK88,"주국")+COUNTIF(AK69:AK88,"주공")</f>
        <v>0</v>
      </c>
      <c r="AB84" s="1138" t="s">
        <v>26</v>
      </c>
      <c r="AC84" s="1138">
        <f>SUMIF(AJ69:AJ88,"주국",F69:F88)+SUMIF(AJ69:AJ88,"주공",F69:F88)</f>
        <v>0</v>
      </c>
      <c r="AD84" s="1139">
        <f>SUMIF(AK69:AK88,"주국",K69:K88)+SUMIF(AK69:AK88,"주공",K69:K88)</f>
        <v>0</v>
      </c>
      <c r="AE84" s="1138">
        <f t="shared" si="13"/>
        <v>0</v>
      </c>
      <c r="AF84" s="1139">
        <f t="shared" si="13"/>
        <v>0</v>
      </c>
      <c r="AG84" s="1138" t="s">
        <v>26</v>
      </c>
      <c r="AH84" s="1138">
        <f t="shared" si="14"/>
        <v>0</v>
      </c>
      <c r="AI84" s="1139">
        <f t="shared" si="14"/>
        <v>0</v>
      </c>
      <c r="AJ84" s="1138" t="str">
        <f t="shared" si="15"/>
        <v>전엄금순</v>
      </c>
      <c r="AK84" s="1138" t="str">
        <f t="shared" si="16"/>
        <v>전공</v>
      </c>
      <c r="AL84" s="66"/>
      <c r="AM84" s="66"/>
    </row>
    <row r="85" spans="1:39" s="67" customFormat="1" ht="24.95" customHeight="1" x14ac:dyDescent="0.15">
      <c r="A85" s="348">
        <v>77</v>
      </c>
      <c r="B85" s="222" t="s">
        <v>231</v>
      </c>
      <c r="C85" s="1016" t="s">
        <v>584</v>
      </c>
      <c r="D85" s="1016" t="s">
        <v>28</v>
      </c>
      <c r="E85" s="1033">
        <v>90</v>
      </c>
      <c r="F85" s="1033">
        <v>90</v>
      </c>
      <c r="G85" s="417"/>
      <c r="H85" s="1025" t="s">
        <v>584</v>
      </c>
      <c r="I85" s="1025" t="s">
        <v>28</v>
      </c>
      <c r="J85" s="1036">
        <v>90</v>
      </c>
      <c r="K85" s="1036">
        <v>90</v>
      </c>
      <c r="L85" s="1016" t="s">
        <v>572</v>
      </c>
      <c r="M85" s="1016" t="s">
        <v>573</v>
      </c>
      <c r="N85" s="1025" t="s">
        <v>660</v>
      </c>
      <c r="O85" s="1025" t="s">
        <v>670</v>
      </c>
      <c r="P85" s="155"/>
      <c r="Q85" s="155"/>
      <c r="R85" s="155"/>
      <c r="S85" s="342"/>
      <c r="T85" s="1142" t="s">
        <v>5</v>
      </c>
      <c r="U85" s="1138">
        <f>COUNTIF(D69:D88,"목")</f>
        <v>0</v>
      </c>
      <c r="V85" s="1139">
        <f>COUNTIF(I69:I88,"목")</f>
        <v>0</v>
      </c>
      <c r="W85" s="1138" t="s">
        <v>26</v>
      </c>
      <c r="X85" s="1138">
        <f>SUMIF(D69:D88,"목",F69:F88)</f>
        <v>0</v>
      </c>
      <c r="Y85" s="1139">
        <f>SUMIF(I69:I88,"목",K69:K88)</f>
        <v>0</v>
      </c>
      <c r="Z85" s="1138">
        <f>COUNTIF(AJ69:AJ88,"목국")+COUNTIF(AJ69:AJ88,"목공")</f>
        <v>0</v>
      </c>
      <c r="AA85" s="1139">
        <f>COUNTIF(AK69:AK88,"목국")+COUNTIF(AK69:AK88,"목공")</f>
        <v>0</v>
      </c>
      <c r="AB85" s="1138" t="s">
        <v>26</v>
      </c>
      <c r="AC85" s="1138">
        <f>SUMIF(AJ69:AJ88,"목국",F69:F88)+SUMIF(AJ69:AJ88,"목공",F69:F88)</f>
        <v>0</v>
      </c>
      <c r="AD85" s="1139">
        <f>SUMIF(AK69:AK88,"목국",K69:K88)+SUMIF(AK69:AK88,"목공",K69:K88)</f>
        <v>0</v>
      </c>
      <c r="AE85" s="1138">
        <f t="shared" si="13"/>
        <v>0</v>
      </c>
      <c r="AF85" s="1139">
        <f t="shared" si="13"/>
        <v>0</v>
      </c>
      <c r="AG85" s="1138" t="s">
        <v>26</v>
      </c>
      <c r="AH85" s="1138">
        <f t="shared" si="14"/>
        <v>0</v>
      </c>
      <c r="AI85" s="1139">
        <f t="shared" si="14"/>
        <v>0</v>
      </c>
      <c r="AJ85" s="1138" t="str">
        <f t="shared" si="15"/>
        <v>답최흥보</v>
      </c>
      <c r="AK85" s="1138" t="str">
        <f t="shared" si="16"/>
        <v>답공</v>
      </c>
      <c r="AL85" s="66"/>
      <c r="AM85" s="66"/>
    </row>
    <row r="86" spans="1:39" s="67" customFormat="1" ht="24.95" customHeight="1" x14ac:dyDescent="0.15">
      <c r="A86" s="348">
        <v>78</v>
      </c>
      <c r="B86" s="222" t="s">
        <v>231</v>
      </c>
      <c r="C86" s="1016" t="s">
        <v>585</v>
      </c>
      <c r="D86" s="1016" t="s">
        <v>28</v>
      </c>
      <c r="E86" s="1033">
        <v>155</v>
      </c>
      <c r="F86" s="1033">
        <v>155</v>
      </c>
      <c r="G86" s="417"/>
      <c r="H86" s="1025" t="s">
        <v>585</v>
      </c>
      <c r="I86" s="1025" t="s">
        <v>28</v>
      </c>
      <c r="J86" s="1036">
        <v>155</v>
      </c>
      <c r="K86" s="1036">
        <v>155</v>
      </c>
      <c r="L86" s="1016" t="s">
        <v>602</v>
      </c>
      <c r="M86" s="1016" t="s">
        <v>603</v>
      </c>
      <c r="N86" s="1025" t="s">
        <v>661</v>
      </c>
      <c r="O86" s="1025" t="s">
        <v>669</v>
      </c>
      <c r="P86" s="155"/>
      <c r="Q86" s="155"/>
      <c r="R86" s="155"/>
      <c r="S86" s="342"/>
      <c r="T86" s="1142"/>
      <c r="U86" s="1142"/>
      <c r="V86" s="1143"/>
      <c r="W86" s="1142"/>
      <c r="X86" s="1142"/>
      <c r="Y86" s="1143"/>
      <c r="Z86" s="1138"/>
      <c r="AA86" s="1139"/>
      <c r="AB86" s="1142"/>
      <c r="AC86" s="1138"/>
      <c r="AD86" s="1139"/>
      <c r="AE86" s="1142"/>
      <c r="AF86" s="1143"/>
      <c r="AG86" s="1142"/>
      <c r="AH86" s="1142"/>
      <c r="AI86" s="1143"/>
      <c r="AJ86" s="1138" t="str">
        <f t="shared" si="15"/>
        <v>답정천영</v>
      </c>
      <c r="AK86" s="1138" t="str">
        <f t="shared" si="16"/>
        <v>답공</v>
      </c>
      <c r="AL86" s="66"/>
      <c r="AM86" s="66"/>
    </row>
    <row r="87" spans="1:39" s="67" customFormat="1" ht="24.95" customHeight="1" x14ac:dyDescent="0.15">
      <c r="A87" s="349" t="s">
        <v>83</v>
      </c>
      <c r="B87" s="222" t="s">
        <v>231</v>
      </c>
      <c r="C87" s="1016" t="s">
        <v>586</v>
      </c>
      <c r="D87" s="1016" t="s">
        <v>244</v>
      </c>
      <c r="E87" s="1033">
        <v>1080</v>
      </c>
      <c r="F87" s="1033">
        <v>68</v>
      </c>
      <c r="G87" s="417"/>
      <c r="H87" s="1025" t="s">
        <v>586</v>
      </c>
      <c r="I87" s="1025" t="s">
        <v>244</v>
      </c>
      <c r="J87" s="1036">
        <v>1080</v>
      </c>
      <c r="K87" s="1036">
        <v>68</v>
      </c>
      <c r="L87" s="1016" t="s">
        <v>155</v>
      </c>
      <c r="M87" s="1016" t="s">
        <v>184</v>
      </c>
      <c r="N87" s="1025" t="s">
        <v>155</v>
      </c>
      <c r="O87" s="1025" t="s">
        <v>184</v>
      </c>
      <c r="P87" s="102"/>
      <c r="Q87" s="102"/>
      <c r="R87" s="102"/>
      <c r="S87" s="342"/>
      <c r="T87" s="1142"/>
      <c r="U87" s="1142"/>
      <c r="V87" s="1143"/>
      <c r="W87" s="1142"/>
      <c r="X87" s="1142"/>
      <c r="Y87" s="1143"/>
      <c r="Z87" s="1138"/>
      <c r="AA87" s="1139"/>
      <c r="AB87" s="1142"/>
      <c r="AC87" s="1138"/>
      <c r="AD87" s="1139"/>
      <c r="AE87" s="1142"/>
      <c r="AF87" s="1143"/>
      <c r="AG87" s="1142"/>
      <c r="AH87" s="1142"/>
      <c r="AI87" s="1143"/>
      <c r="AJ87" s="1138" t="str">
        <f t="shared" si="15"/>
        <v>구국</v>
      </c>
      <c r="AK87" s="1138" t="str">
        <f t="shared" si="16"/>
        <v>구국</v>
      </c>
      <c r="AL87" s="66"/>
      <c r="AM87" s="66"/>
    </row>
    <row r="88" spans="1:39" s="67" customFormat="1" ht="24.95" customHeight="1" x14ac:dyDescent="0.15">
      <c r="A88" s="348">
        <v>80</v>
      </c>
      <c r="B88" s="222" t="s">
        <v>231</v>
      </c>
      <c r="C88" s="1016" t="s">
        <v>587</v>
      </c>
      <c r="D88" s="1016" t="s">
        <v>154</v>
      </c>
      <c r="E88" s="1033">
        <v>33</v>
      </c>
      <c r="F88" s="1033">
        <v>33</v>
      </c>
      <c r="G88" s="417"/>
      <c r="H88" s="1025" t="s">
        <v>587</v>
      </c>
      <c r="I88" s="1025" t="s">
        <v>154</v>
      </c>
      <c r="J88" s="1036">
        <v>33</v>
      </c>
      <c r="K88" s="1036">
        <v>33</v>
      </c>
      <c r="L88" s="1016" t="s">
        <v>604</v>
      </c>
      <c r="M88" s="1016" t="s">
        <v>605</v>
      </c>
      <c r="N88" s="1025" t="s">
        <v>664</v>
      </c>
      <c r="O88" s="1025" t="s">
        <v>671</v>
      </c>
      <c r="P88" s="155"/>
      <c r="Q88" s="155"/>
      <c r="R88" s="155"/>
      <c r="S88" s="342"/>
      <c r="T88" s="1144" t="s">
        <v>37</v>
      </c>
      <c r="U88" s="1144">
        <f>COUNTIF(D69:D88,"철")</f>
        <v>0</v>
      </c>
      <c r="V88" s="1145">
        <f>COUNTIF(I69:I88,"철")</f>
        <v>0</v>
      </c>
      <c r="W88" s="1144" t="s">
        <v>26</v>
      </c>
      <c r="X88" s="1144">
        <f>SUMIF(D69:D88,"철",F69:F88)</f>
        <v>0</v>
      </c>
      <c r="Y88" s="1145">
        <f>SUMIF(I69:I88,"철",K69:K88)</f>
        <v>0</v>
      </c>
      <c r="Z88" s="1138">
        <f>COUNTIF(AJ69:AJ88,"철국")+COUNTIF(AJ69:AJ88,"철공")</f>
        <v>0</v>
      </c>
      <c r="AA88" s="1139">
        <f>COUNTIF(AK69:AK88,"철국")+COUNTIF(AK69:AK88,"철공")</f>
        <v>0</v>
      </c>
      <c r="AB88" s="1144" t="s">
        <v>26</v>
      </c>
      <c r="AC88" s="1138">
        <f>SUMIF(AJ69:AJ88,"철국",F69:F88)+SUMIF(AJ69:AJ88,"철공",F69:F88)</f>
        <v>0</v>
      </c>
      <c r="AD88" s="1139">
        <f>SUMIF(AK69:AK88,"철국",K69:K88)+SUMIF(AK69:AK88,"철공",K69:K88)</f>
        <v>0</v>
      </c>
      <c r="AE88" s="1144"/>
      <c r="AF88" s="1145"/>
      <c r="AG88" s="1144"/>
      <c r="AH88" s="1144"/>
      <c r="AI88" s="1145"/>
      <c r="AJ88" s="1138" t="str">
        <f t="shared" si="15"/>
        <v>도윤병억</v>
      </c>
      <c r="AK88" s="1138" t="str">
        <f t="shared" si="16"/>
        <v>도공</v>
      </c>
      <c r="AL88" s="66"/>
      <c r="AM88" s="66"/>
    </row>
    <row r="89" spans="1:39" s="57" customFormat="1" ht="24" customHeight="1" thickBot="1" x14ac:dyDescent="0.2">
      <c r="A89" s="1146" t="s">
        <v>48</v>
      </c>
      <c r="B89" s="1147"/>
      <c r="C89" s="1147"/>
      <c r="D89" s="1147"/>
      <c r="E89" s="1147"/>
      <c r="F89" s="1148">
        <f>SUM(F69:F88)</f>
        <v>7202</v>
      </c>
      <c r="G89" s="1149"/>
      <c r="H89" s="1149"/>
      <c r="I89" s="1150"/>
      <c r="J89" s="1151"/>
      <c r="K89" s="1152">
        <f>SUM(K69:K88)</f>
        <v>7202</v>
      </c>
      <c r="L89" s="1153"/>
      <c r="M89" s="1153"/>
      <c r="N89" s="1154"/>
      <c r="O89" s="1154"/>
      <c r="P89" s="1153"/>
      <c r="Q89" s="1153"/>
      <c r="R89" s="1153"/>
      <c r="S89" s="1155"/>
      <c r="T89" s="1156" t="s">
        <v>24</v>
      </c>
      <c r="U89" s="1157">
        <f t="shared" ref="U89:AA89" si="17">SUM(U69:U88)</f>
        <v>20</v>
      </c>
      <c r="V89" s="1157">
        <f t="shared" si="17"/>
        <v>20</v>
      </c>
      <c r="W89" s="1157">
        <f t="shared" si="17"/>
        <v>0</v>
      </c>
      <c r="X89" s="1157">
        <f t="shared" si="17"/>
        <v>7202</v>
      </c>
      <c r="Y89" s="1157">
        <f t="shared" si="17"/>
        <v>7202</v>
      </c>
      <c r="Z89" s="1138">
        <f t="shared" si="17"/>
        <v>2</v>
      </c>
      <c r="AA89" s="1139">
        <f t="shared" si="17"/>
        <v>20</v>
      </c>
      <c r="AB89" s="1138" t="s">
        <v>26</v>
      </c>
      <c r="AC89" s="1138">
        <f>SUM(AC69:AC88)</f>
        <v>134</v>
      </c>
      <c r="AD89" s="1139">
        <f>SUM(AD69:AD88)</f>
        <v>7202</v>
      </c>
      <c r="AE89" s="1157">
        <f>SUM(AE69:AE88)</f>
        <v>18</v>
      </c>
      <c r="AF89" s="1157">
        <f>SUM(AF69:AF88)</f>
        <v>0</v>
      </c>
      <c r="AG89" s="1157" t="s">
        <v>26</v>
      </c>
      <c r="AH89" s="1157">
        <f>SUM(AH69:AH88)</f>
        <v>7068</v>
      </c>
      <c r="AI89" s="1157">
        <f>SUM(AI69:AI88)</f>
        <v>0</v>
      </c>
      <c r="AJ89" s="1157"/>
      <c r="AK89" s="1138" t="str">
        <f t="shared" si="16"/>
        <v/>
      </c>
    </row>
    <row r="90" spans="1:39" s="67" customFormat="1" ht="24" customHeight="1" x14ac:dyDescent="0.15">
      <c r="A90" s="159">
        <v>81</v>
      </c>
      <c r="B90" s="318" t="s">
        <v>228</v>
      </c>
      <c r="C90" s="1016" t="s">
        <v>588</v>
      </c>
      <c r="D90" s="1016" t="s">
        <v>154</v>
      </c>
      <c r="E90" s="1033">
        <v>137</v>
      </c>
      <c r="F90" s="1033">
        <v>98</v>
      </c>
      <c r="G90" s="417"/>
      <c r="H90" s="1025" t="s">
        <v>588</v>
      </c>
      <c r="I90" s="1025" t="s">
        <v>154</v>
      </c>
      <c r="J90" s="1036">
        <v>137</v>
      </c>
      <c r="K90" s="1036">
        <v>98</v>
      </c>
      <c r="L90" s="1016" t="s">
        <v>155</v>
      </c>
      <c r="M90" s="1016" t="s">
        <v>188</v>
      </c>
      <c r="N90" s="1025" t="s">
        <v>155</v>
      </c>
      <c r="O90" s="1025" t="s">
        <v>188</v>
      </c>
      <c r="P90" s="158"/>
      <c r="Q90" s="158"/>
      <c r="R90" s="158"/>
      <c r="S90" s="358"/>
      <c r="T90" s="1138" t="s">
        <v>27</v>
      </c>
      <c r="U90" s="1138">
        <f>COUNTIF(D90:D109,"전")</f>
        <v>2</v>
      </c>
      <c r="V90" s="1139">
        <f>COUNTIF(I90:I109,"전")</f>
        <v>2</v>
      </c>
      <c r="W90" s="1138" t="s">
        <v>26</v>
      </c>
      <c r="X90" s="1138">
        <f>SUMIF(D90:D109,"전",F90:F109)</f>
        <v>22</v>
      </c>
      <c r="Y90" s="1139">
        <f>SUMIF(I90:I109,"전",K90:K109)</f>
        <v>22</v>
      </c>
      <c r="Z90" s="1138">
        <f>COUNTIF(AJ90:AJ109,"전국")+COUNTIF(AJ90:AJ109,"전공")</f>
        <v>0</v>
      </c>
      <c r="AA90" s="1139">
        <f>COUNTIF(AK90:AK109,"전국")+COUNTIF(AK90:AK109,"전공")</f>
        <v>2</v>
      </c>
      <c r="AB90" s="1138" t="s">
        <v>26</v>
      </c>
      <c r="AC90" s="1138">
        <f>SUMIF(AJ90:AJ109,"전국",F90:F109)+SUMIF(AJ90:AJ109,"전공",F90:F109)</f>
        <v>0</v>
      </c>
      <c r="AD90" s="1139">
        <f>SUMIF(AK90:AK109,"전국",K90:K109)+SUMIF(AK90:AK109,"전공",K90:K109)</f>
        <v>22</v>
      </c>
      <c r="AE90" s="1138">
        <f t="shared" ref="AE90:AF106" si="18">U90-Z90</f>
        <v>2</v>
      </c>
      <c r="AF90" s="1139">
        <f t="shared" si="18"/>
        <v>0</v>
      </c>
      <c r="AG90" s="1138" t="s">
        <v>26</v>
      </c>
      <c r="AH90" s="1138">
        <f t="shared" ref="AH90:AI106" si="19">X90-AC90</f>
        <v>22</v>
      </c>
      <c r="AI90" s="1139">
        <f t="shared" si="19"/>
        <v>0</v>
      </c>
      <c r="AJ90" s="1138" t="str">
        <f t="shared" ref="AJ90:AJ109" si="20">CONCATENATE(D90,L90)</f>
        <v>도국</v>
      </c>
      <c r="AK90" s="1138" t="str">
        <f t="shared" si="16"/>
        <v>도국</v>
      </c>
    </row>
    <row r="91" spans="1:39" s="67" customFormat="1" ht="24" customHeight="1" x14ac:dyDescent="0.15">
      <c r="A91" s="348">
        <v>82</v>
      </c>
      <c r="B91" s="222" t="s">
        <v>231</v>
      </c>
      <c r="C91" s="1016" t="s">
        <v>589</v>
      </c>
      <c r="D91" s="1016" t="s">
        <v>340</v>
      </c>
      <c r="E91" s="1033">
        <v>26</v>
      </c>
      <c r="F91" s="1033">
        <v>26</v>
      </c>
      <c r="G91" s="417"/>
      <c r="H91" s="1025" t="s">
        <v>589</v>
      </c>
      <c r="I91" s="1025" t="s">
        <v>340</v>
      </c>
      <c r="J91" s="1036">
        <v>26</v>
      </c>
      <c r="K91" s="1036">
        <v>26</v>
      </c>
      <c r="L91" s="1016" t="s">
        <v>606</v>
      </c>
      <c r="M91" s="1016" t="s">
        <v>571</v>
      </c>
      <c r="N91" s="1025" t="s">
        <v>660</v>
      </c>
      <c r="O91" s="1025" t="s">
        <v>669</v>
      </c>
      <c r="P91" s="155"/>
      <c r="Q91" s="155"/>
      <c r="R91" s="155"/>
      <c r="S91" s="342"/>
      <c r="T91" s="1138" t="s">
        <v>28</v>
      </c>
      <c r="U91" s="1138">
        <f>COUNTIF(D90:D109,"답")</f>
        <v>3</v>
      </c>
      <c r="V91" s="1139">
        <f>COUNTIF(I90:I109,"답")</f>
        <v>3</v>
      </c>
      <c r="W91" s="1138" t="s">
        <v>26</v>
      </c>
      <c r="X91" s="1138">
        <f>SUMIF(D90:D109,"답",F90:F109)</f>
        <v>1945</v>
      </c>
      <c r="Y91" s="1139">
        <f>SUMIF(I90:I109,"답",K90:K109)</f>
        <v>1945</v>
      </c>
      <c r="Z91" s="1138">
        <f>COUNTIF(AJ90:AJ109,"답국")+COUNTIF(AJ90:AJ109,"답공")</f>
        <v>0</v>
      </c>
      <c r="AA91" s="1139">
        <f>COUNTIF(AK90:AK109,"답국")+COUNTIF(AK90:AK109,"답공")</f>
        <v>3</v>
      </c>
      <c r="AB91" s="1138" t="s">
        <v>26</v>
      </c>
      <c r="AC91" s="1138">
        <f>SUMIF(AJ90:AJ109,"답국",F90:F109)+SUMIF(AJ90:AJ109,"답공",F90:F109)</f>
        <v>0</v>
      </c>
      <c r="AD91" s="1139">
        <f>SUMIF(AK90:AK109,"답국",K90:K109)+SUMIF(AK90:AK109,"답공",K90:K109)</f>
        <v>1945</v>
      </c>
      <c r="AE91" s="1138">
        <f t="shared" si="18"/>
        <v>3</v>
      </c>
      <c r="AF91" s="1139">
        <f t="shared" si="18"/>
        <v>0</v>
      </c>
      <c r="AG91" s="1138" t="s">
        <v>26</v>
      </c>
      <c r="AH91" s="1138">
        <f t="shared" si="19"/>
        <v>1945</v>
      </c>
      <c r="AI91" s="1139">
        <f t="shared" si="19"/>
        <v>0</v>
      </c>
      <c r="AJ91" s="1138" t="str">
        <f t="shared" si="20"/>
        <v>목이태훈</v>
      </c>
      <c r="AK91" s="1138" t="str">
        <f t="shared" si="16"/>
        <v>목공</v>
      </c>
    </row>
    <row r="92" spans="1:39" s="67" customFormat="1" ht="24" customHeight="1" x14ac:dyDescent="0.15">
      <c r="A92" s="348">
        <v>83</v>
      </c>
      <c r="B92" s="222" t="s">
        <v>231</v>
      </c>
      <c r="C92" s="1016" t="s">
        <v>590</v>
      </c>
      <c r="D92" s="1016" t="s">
        <v>28</v>
      </c>
      <c r="E92" s="1033">
        <v>151</v>
      </c>
      <c r="F92" s="1033">
        <v>151</v>
      </c>
      <c r="G92" s="417"/>
      <c r="H92" s="1025" t="s">
        <v>590</v>
      </c>
      <c r="I92" s="1025" t="s">
        <v>28</v>
      </c>
      <c r="J92" s="1036">
        <v>151</v>
      </c>
      <c r="K92" s="1036">
        <v>151</v>
      </c>
      <c r="L92" s="1016" t="s">
        <v>606</v>
      </c>
      <c r="M92" s="1016" t="s">
        <v>571</v>
      </c>
      <c r="N92" s="1025" t="s">
        <v>660</v>
      </c>
      <c r="O92" s="1025" t="s">
        <v>669</v>
      </c>
      <c r="P92" s="155"/>
      <c r="Q92" s="155"/>
      <c r="R92" s="155"/>
      <c r="S92" s="342"/>
      <c r="T92" s="1138" t="s">
        <v>44</v>
      </c>
      <c r="U92" s="1138">
        <f>COUNTIF(D90:D109,"임")</f>
        <v>0</v>
      </c>
      <c r="V92" s="1139">
        <f>COUNTIF(I90:I109,"임")</f>
        <v>0</v>
      </c>
      <c r="W92" s="1138" t="s">
        <v>26</v>
      </c>
      <c r="X92" s="1138">
        <f>SUMIF(D90:D109,"임",F90:F109)</f>
        <v>0</v>
      </c>
      <c r="Y92" s="1139">
        <f>SUMIF(I90:I109,"임",K90:K109)</f>
        <v>0</v>
      </c>
      <c r="Z92" s="1138">
        <f>COUNTIF(AJ90:AJ109,"임국")+COUNTIF(AJ90:AJ109,"임공")</f>
        <v>0</v>
      </c>
      <c r="AA92" s="1139">
        <f>COUNTIF(AK90:AK109,"임국")+COUNTIF(AK90:AK109,"임공")</f>
        <v>0</v>
      </c>
      <c r="AB92" s="1138" t="s">
        <v>26</v>
      </c>
      <c r="AC92" s="1138">
        <f>SUMIF(AJ90:AJ109,"임국",F90:F109)+SUMIF(AJ90:AJ109,"임공",F90:F109)</f>
        <v>0</v>
      </c>
      <c r="AD92" s="1139">
        <f>SUMIF(AK90:AK109,"임국",K90:K109)+SUMIF(AK90:AK109,"임공",K90:K109)</f>
        <v>0</v>
      </c>
      <c r="AE92" s="1138">
        <f t="shared" si="18"/>
        <v>0</v>
      </c>
      <c r="AF92" s="1139">
        <f t="shared" si="18"/>
        <v>0</v>
      </c>
      <c r="AG92" s="1138" t="s">
        <v>26</v>
      </c>
      <c r="AH92" s="1138">
        <f t="shared" si="19"/>
        <v>0</v>
      </c>
      <c r="AI92" s="1139">
        <f t="shared" si="19"/>
        <v>0</v>
      </c>
      <c r="AJ92" s="1138" t="str">
        <f t="shared" si="20"/>
        <v>답이태훈</v>
      </c>
      <c r="AK92" s="1138" t="str">
        <f t="shared" si="16"/>
        <v>답공</v>
      </c>
      <c r="AL92" s="66"/>
      <c r="AM92" s="66"/>
    </row>
    <row r="93" spans="1:39" s="67" customFormat="1" ht="24" customHeight="1" x14ac:dyDescent="0.15">
      <c r="A93" s="348">
        <v>84</v>
      </c>
      <c r="B93" s="222" t="s">
        <v>231</v>
      </c>
      <c r="C93" s="1016" t="s">
        <v>591</v>
      </c>
      <c r="D93" s="1016" t="s">
        <v>252</v>
      </c>
      <c r="E93" s="1033">
        <v>158</v>
      </c>
      <c r="F93" s="1033">
        <v>47</v>
      </c>
      <c r="G93" s="417"/>
      <c r="H93" s="1025" t="s">
        <v>591</v>
      </c>
      <c r="I93" s="1025" t="s">
        <v>252</v>
      </c>
      <c r="J93" s="1036">
        <v>158</v>
      </c>
      <c r="K93" s="1036">
        <v>47</v>
      </c>
      <c r="L93" s="1016" t="s">
        <v>155</v>
      </c>
      <c r="M93" s="1016" t="s">
        <v>188</v>
      </c>
      <c r="N93" s="1025" t="s">
        <v>155</v>
      </c>
      <c r="O93" s="1025" t="s">
        <v>188</v>
      </c>
      <c r="P93" s="155"/>
      <c r="Q93" s="155"/>
      <c r="R93" s="155"/>
      <c r="S93" s="342"/>
      <c r="T93" s="1138" t="s">
        <v>45</v>
      </c>
      <c r="U93" s="1138">
        <f>COUNTIF(D90:D109,"대")</f>
        <v>4</v>
      </c>
      <c r="V93" s="1139">
        <f>COUNTIF(I90:I109,"대")</f>
        <v>4</v>
      </c>
      <c r="W93" s="1138" t="s">
        <v>26</v>
      </c>
      <c r="X93" s="1138">
        <f>SUMIF(D90:D109,"대",F90:F109)</f>
        <v>901</v>
      </c>
      <c r="Y93" s="1139">
        <f>SUMIF(I90:I109,"대",K90:K109)</f>
        <v>901</v>
      </c>
      <c r="Z93" s="1138">
        <f>COUNTIF(AJ90:AJ109,"대국")+COUNTIF(AJ90:AJ109,"대공")</f>
        <v>1</v>
      </c>
      <c r="AA93" s="1139">
        <f>COUNTIF(AK90:AK109,"대국")+COUNTIF(AK90:AK109,"대공")</f>
        <v>4</v>
      </c>
      <c r="AB93" s="1138" t="s">
        <v>26</v>
      </c>
      <c r="AC93" s="1138">
        <f>SUMIF(AJ90:AJ109,"대국",F90:F109)+SUMIF(AJ90:AJ109,"대공",F90:F109)</f>
        <v>129</v>
      </c>
      <c r="AD93" s="1139">
        <f>SUMIF(AK90:AK109,"대국",K90:K109)+SUMIF(AK90:AK109,"대공",K90:K109)</f>
        <v>901</v>
      </c>
      <c r="AE93" s="1138">
        <f t="shared" si="18"/>
        <v>3</v>
      </c>
      <c r="AF93" s="1139">
        <f t="shared" si="18"/>
        <v>0</v>
      </c>
      <c r="AG93" s="1138" t="s">
        <v>26</v>
      </c>
      <c r="AH93" s="1138">
        <f t="shared" si="19"/>
        <v>772</v>
      </c>
      <c r="AI93" s="1139">
        <f t="shared" si="19"/>
        <v>0</v>
      </c>
      <c r="AJ93" s="1138" t="str">
        <f t="shared" si="20"/>
        <v>천국</v>
      </c>
      <c r="AK93" s="1138" t="str">
        <f t="shared" si="16"/>
        <v>천국</v>
      </c>
      <c r="AL93" s="66"/>
      <c r="AM93" s="66"/>
    </row>
    <row r="94" spans="1:39" s="67" customFormat="1" ht="24" customHeight="1" x14ac:dyDescent="0.15">
      <c r="A94" s="348">
        <v>85</v>
      </c>
      <c r="B94" s="222" t="s">
        <v>231</v>
      </c>
      <c r="C94" s="1016" t="s">
        <v>592</v>
      </c>
      <c r="D94" s="1016" t="s">
        <v>252</v>
      </c>
      <c r="E94" s="1033">
        <v>162</v>
      </c>
      <c r="F94" s="1033">
        <v>162</v>
      </c>
      <c r="G94" s="600"/>
      <c r="H94" s="1025" t="s">
        <v>592</v>
      </c>
      <c r="I94" s="1025" t="s">
        <v>252</v>
      </c>
      <c r="J94" s="1036">
        <v>162</v>
      </c>
      <c r="K94" s="1036">
        <v>162</v>
      </c>
      <c r="L94" s="1016" t="s">
        <v>352</v>
      </c>
      <c r="M94" s="1016" t="s">
        <v>353</v>
      </c>
      <c r="N94" s="1025" t="s">
        <v>352</v>
      </c>
      <c r="O94" s="1025" t="s">
        <v>353</v>
      </c>
      <c r="P94" s="155"/>
      <c r="Q94" s="155"/>
      <c r="R94" s="155"/>
      <c r="S94" s="342"/>
      <c r="T94" s="1138" t="s">
        <v>31</v>
      </c>
      <c r="U94" s="1138">
        <f>COUNTIF(D90:D109,"도")</f>
        <v>4</v>
      </c>
      <c r="V94" s="1139">
        <f>COUNTIF(I90:I109,"도")</f>
        <v>4</v>
      </c>
      <c r="W94" s="1138" t="s">
        <v>26</v>
      </c>
      <c r="X94" s="1138">
        <f>SUMIF(D90:D109,"도",F90:F109)</f>
        <v>209</v>
      </c>
      <c r="Y94" s="1139">
        <f>SUMIF(I90:I109,"도",K90:K109)</f>
        <v>209</v>
      </c>
      <c r="Z94" s="1138">
        <f>COUNTIF(AJ90:AJ109,"도국")+COUNTIF(AJ90:AJ109,"도공")</f>
        <v>4</v>
      </c>
      <c r="AA94" s="1139">
        <f>COUNTIF(AK90:AK109,"도국")+COUNTIF(AK90:AK109,"도공")</f>
        <v>4</v>
      </c>
      <c r="AB94" s="1138" t="s">
        <v>26</v>
      </c>
      <c r="AC94" s="1138">
        <f>SUMIF(AJ90:AJ109,"도국",F90:F109)+SUMIF(AJ90:AJ109,"도공",F90:F109)</f>
        <v>209</v>
      </c>
      <c r="AD94" s="1139">
        <f>SUMIF(AK90:AK109,"도국",K90:K109)+SUMIF(AK90:AK109,"도공",K90:K109)</f>
        <v>209</v>
      </c>
      <c r="AE94" s="1138">
        <f t="shared" si="18"/>
        <v>0</v>
      </c>
      <c r="AF94" s="1139">
        <f t="shared" si="18"/>
        <v>0</v>
      </c>
      <c r="AG94" s="1138" t="s">
        <v>26</v>
      </c>
      <c r="AH94" s="1138">
        <f t="shared" si="19"/>
        <v>0</v>
      </c>
      <c r="AI94" s="1139">
        <f t="shared" si="19"/>
        <v>0</v>
      </c>
      <c r="AJ94" s="1138" t="str">
        <f t="shared" si="20"/>
        <v>천공</v>
      </c>
      <c r="AK94" s="1138" t="str">
        <f t="shared" si="16"/>
        <v>천공</v>
      </c>
      <c r="AL94" s="66"/>
      <c r="AM94" s="66"/>
    </row>
    <row r="95" spans="1:39" s="67" customFormat="1" ht="24" customHeight="1" x14ac:dyDescent="0.15">
      <c r="A95" s="348">
        <v>86</v>
      </c>
      <c r="B95" s="222" t="s">
        <v>231</v>
      </c>
      <c r="C95" s="1016" t="s">
        <v>593</v>
      </c>
      <c r="D95" s="1016" t="s">
        <v>252</v>
      </c>
      <c r="E95" s="1033">
        <v>9</v>
      </c>
      <c r="F95" s="1033">
        <v>9</v>
      </c>
      <c r="G95" s="417"/>
      <c r="H95" s="1025" t="s">
        <v>593</v>
      </c>
      <c r="I95" s="1025" t="s">
        <v>252</v>
      </c>
      <c r="J95" s="1036">
        <v>9</v>
      </c>
      <c r="K95" s="1036">
        <v>9</v>
      </c>
      <c r="L95" s="1016" t="s">
        <v>568</v>
      </c>
      <c r="M95" s="1016" t="s">
        <v>569</v>
      </c>
      <c r="N95" s="1025" t="s">
        <v>660</v>
      </c>
      <c r="O95" s="1025" t="s">
        <v>669</v>
      </c>
      <c r="P95" s="102"/>
      <c r="Q95" s="102"/>
      <c r="R95" s="102"/>
      <c r="S95" s="342"/>
      <c r="T95" s="1138" t="s">
        <v>32</v>
      </c>
      <c r="U95" s="1140">
        <f>COUNTIF(D90:D109,"천")</f>
        <v>3</v>
      </c>
      <c r="V95" s="1141">
        <f>COUNTIF(I90:I109,"천")</f>
        <v>3</v>
      </c>
      <c r="W95" s="1138" t="s">
        <v>26</v>
      </c>
      <c r="X95" s="1138">
        <f>SUMIF(D90:D109,"천",F90:F109)</f>
        <v>218</v>
      </c>
      <c r="Y95" s="1139">
        <f>SUMIF(I90:I109,"천",K90:K109)</f>
        <v>218</v>
      </c>
      <c r="Z95" s="1138">
        <f>COUNTIF(AJ90:AJ109,"천국")+COUNTIF(AJ90:AJ109,"천공")</f>
        <v>2</v>
      </c>
      <c r="AA95" s="1139">
        <f>COUNTIF(AK90:AK109,"천국")+COUNTIF(AK90:AK109,"천공")</f>
        <v>3</v>
      </c>
      <c r="AB95" s="1138" t="s">
        <v>26</v>
      </c>
      <c r="AC95" s="1138">
        <f>SUMIF(AJ90:AJ109,"천국",F90:F109)+SUMIF(AJ90:AJ109,"천공",F90:F109)</f>
        <v>209</v>
      </c>
      <c r="AD95" s="1139">
        <f>SUMIF(AK90:AK109,"천국",K90:K109)+SUMIF(AK90:AK109,"천공",K90:K109)</f>
        <v>218</v>
      </c>
      <c r="AE95" s="1138">
        <f t="shared" si="18"/>
        <v>1</v>
      </c>
      <c r="AF95" s="1139">
        <f t="shared" si="18"/>
        <v>0</v>
      </c>
      <c r="AG95" s="1138" t="s">
        <v>26</v>
      </c>
      <c r="AH95" s="1138">
        <f t="shared" si="19"/>
        <v>9</v>
      </c>
      <c r="AI95" s="1139">
        <f t="shared" si="19"/>
        <v>0</v>
      </c>
      <c r="AJ95" s="1138" t="str">
        <f t="shared" si="20"/>
        <v>천윤선균</v>
      </c>
      <c r="AK95" s="1138" t="str">
        <f t="shared" si="16"/>
        <v>천공</v>
      </c>
      <c r="AL95" s="66"/>
      <c r="AM95" s="66"/>
    </row>
    <row r="96" spans="1:39" s="67" customFormat="1" ht="24" customHeight="1" x14ac:dyDescent="0.15">
      <c r="A96" s="348">
        <v>87</v>
      </c>
      <c r="B96" s="222" t="s">
        <v>231</v>
      </c>
      <c r="C96" s="1017">
        <v>547</v>
      </c>
      <c r="D96" s="1016" t="s">
        <v>156</v>
      </c>
      <c r="E96" s="1033">
        <v>398</v>
      </c>
      <c r="F96" s="1033">
        <v>398</v>
      </c>
      <c r="G96" s="417"/>
      <c r="H96" s="1028">
        <v>547</v>
      </c>
      <c r="I96" s="1025" t="s">
        <v>156</v>
      </c>
      <c r="J96" s="1036">
        <v>398</v>
      </c>
      <c r="K96" s="1036">
        <v>398</v>
      </c>
      <c r="L96" s="1016" t="s">
        <v>568</v>
      </c>
      <c r="M96" s="1016" t="s">
        <v>569</v>
      </c>
      <c r="N96" s="1025" t="s">
        <v>660</v>
      </c>
      <c r="O96" s="1025" t="s">
        <v>670</v>
      </c>
      <c r="P96" s="102"/>
      <c r="Q96" s="102"/>
      <c r="R96" s="102"/>
      <c r="S96" s="342"/>
      <c r="T96" s="1138" t="s">
        <v>33</v>
      </c>
      <c r="U96" s="1138">
        <f>COUNTIF(D90:D109,"구")</f>
        <v>0</v>
      </c>
      <c r="V96" s="1139">
        <f>COUNTIF(I90:I109,"구")</f>
        <v>0</v>
      </c>
      <c r="W96" s="1138" t="s">
        <v>26</v>
      </c>
      <c r="X96" s="1138">
        <f>SUMIF(D90:D109,"구",F90:F109)</f>
        <v>0</v>
      </c>
      <c r="Y96" s="1139">
        <f>SUMIF(I90:I109,"구",K90:K109)</f>
        <v>0</v>
      </c>
      <c r="Z96" s="1138">
        <f>COUNTIF(AJ90:AJ109,"구국")+COUNTIF(AJ90:AJ109,"구공")</f>
        <v>0</v>
      </c>
      <c r="AA96" s="1139">
        <f>COUNTIF(AK90:AK109,"구국")+COUNTIF(AK90:AK109,"구공")</f>
        <v>0</v>
      </c>
      <c r="AB96" s="1138" t="s">
        <v>26</v>
      </c>
      <c r="AC96" s="1138">
        <f>SUMIF(AJ90:AJ109,"구국",F90:F109)+SUMIF(AJ90:AJ109,"구공",F90:F109)</f>
        <v>0</v>
      </c>
      <c r="AD96" s="1139">
        <f>SUMIF(AK90:AK109,"구국",K90:K109)+SUMIF(AK90:AK109,"구공",K90:K109)</f>
        <v>0</v>
      </c>
      <c r="AE96" s="1138">
        <f t="shared" si="18"/>
        <v>0</v>
      </c>
      <c r="AF96" s="1139">
        <f t="shared" si="18"/>
        <v>0</v>
      </c>
      <c r="AG96" s="1138" t="s">
        <v>26</v>
      </c>
      <c r="AH96" s="1138">
        <f t="shared" si="19"/>
        <v>0</v>
      </c>
      <c r="AI96" s="1139">
        <f t="shared" si="19"/>
        <v>0</v>
      </c>
      <c r="AJ96" s="1138" t="str">
        <f t="shared" si="20"/>
        <v>대윤선균</v>
      </c>
      <c r="AK96" s="1138" t="str">
        <f t="shared" si="16"/>
        <v>대공</v>
      </c>
      <c r="AL96" s="66"/>
      <c r="AM96" s="66"/>
    </row>
    <row r="97" spans="1:39" s="67" customFormat="1" ht="24" customHeight="1" x14ac:dyDescent="0.15">
      <c r="A97" s="348">
        <v>88</v>
      </c>
      <c r="B97" s="222" t="s">
        <v>231</v>
      </c>
      <c r="C97" s="1017">
        <v>540</v>
      </c>
      <c r="D97" s="1016" t="s">
        <v>156</v>
      </c>
      <c r="E97" s="1033">
        <v>248</v>
      </c>
      <c r="F97" s="1033">
        <v>248</v>
      </c>
      <c r="G97" s="417"/>
      <c r="H97" s="1028">
        <v>540</v>
      </c>
      <c r="I97" s="1025" t="s">
        <v>156</v>
      </c>
      <c r="J97" s="1036">
        <v>248</v>
      </c>
      <c r="K97" s="1036">
        <v>248</v>
      </c>
      <c r="L97" s="1016" t="s">
        <v>607</v>
      </c>
      <c r="M97" s="1016" t="s">
        <v>608</v>
      </c>
      <c r="N97" s="1025" t="s">
        <v>668</v>
      </c>
      <c r="O97" s="1025" t="s">
        <v>670</v>
      </c>
      <c r="P97" s="203"/>
      <c r="Q97" s="203"/>
      <c r="R97" s="203"/>
      <c r="S97" s="342"/>
      <c r="T97" s="1138" t="s">
        <v>34</v>
      </c>
      <c r="U97" s="1138">
        <f>COUNTIF(D90:D109,"제")</f>
        <v>0</v>
      </c>
      <c r="V97" s="1139">
        <f>COUNTIF(I90:I109,"제")</f>
        <v>0</v>
      </c>
      <c r="W97" s="1138" t="s">
        <v>26</v>
      </c>
      <c r="X97" s="1138">
        <f>SUMIF(D90:D109,"제",F90:F109)</f>
        <v>0</v>
      </c>
      <c r="Y97" s="1139">
        <f>SUMIF(I90:I109,"제",K90:K109)</f>
        <v>0</v>
      </c>
      <c r="Z97" s="1138">
        <f>COUNTIF(AJ90:AJ109,"제국")+COUNTIF(AJ90:AJ109,"제공")</f>
        <v>0</v>
      </c>
      <c r="AA97" s="1139">
        <f>COUNTIF(AK90:AK109,"제국")+COUNTIF(AK90:AK109,"제공")</f>
        <v>0</v>
      </c>
      <c r="AB97" s="1138" t="s">
        <v>26</v>
      </c>
      <c r="AC97" s="1138">
        <f>SUMIF(AJ90:AJ109,"제국",F90:F109)+SUMIF(AJ90:AJ109,"제공",F90:F109)</f>
        <v>0</v>
      </c>
      <c r="AD97" s="1139">
        <f>SUMIF(AK90:AK109,"제국",K90:K109)+SUMIF(AK90:AK109,"제공",K90:K109)</f>
        <v>0</v>
      </c>
      <c r="AE97" s="1138">
        <f t="shared" si="18"/>
        <v>0</v>
      </c>
      <c r="AF97" s="1139">
        <f t="shared" si="18"/>
        <v>0</v>
      </c>
      <c r="AG97" s="1138" t="s">
        <v>26</v>
      </c>
      <c r="AH97" s="1138">
        <f t="shared" si="19"/>
        <v>0</v>
      </c>
      <c r="AI97" s="1139">
        <f t="shared" si="19"/>
        <v>0</v>
      </c>
      <c r="AJ97" s="1138" t="str">
        <f t="shared" si="20"/>
        <v>대이숙희</v>
      </c>
      <c r="AK97" s="1138" t="str">
        <f t="shared" si="16"/>
        <v>대공</v>
      </c>
      <c r="AL97" s="66"/>
      <c r="AM97" s="66"/>
    </row>
    <row r="98" spans="1:39" s="67" customFormat="1" ht="24" customHeight="1" x14ac:dyDescent="0.15">
      <c r="A98" s="348">
        <v>89</v>
      </c>
      <c r="B98" s="222" t="s">
        <v>231</v>
      </c>
      <c r="C98" s="1016" t="s">
        <v>594</v>
      </c>
      <c r="D98" s="1016" t="s">
        <v>28</v>
      </c>
      <c r="E98" s="1033">
        <v>1445</v>
      </c>
      <c r="F98" s="1033">
        <v>1445</v>
      </c>
      <c r="G98" s="417"/>
      <c r="H98" s="1025" t="s">
        <v>594</v>
      </c>
      <c r="I98" s="1025" t="s">
        <v>28</v>
      </c>
      <c r="J98" s="1036">
        <v>1445</v>
      </c>
      <c r="K98" s="1036">
        <v>1445</v>
      </c>
      <c r="L98" s="1016" t="s">
        <v>607</v>
      </c>
      <c r="M98" s="1016" t="s">
        <v>611</v>
      </c>
      <c r="N98" s="1025" t="s">
        <v>660</v>
      </c>
      <c r="O98" s="1025" t="s">
        <v>671</v>
      </c>
      <c r="P98" s="102"/>
      <c r="Q98" s="102"/>
      <c r="R98" s="102"/>
      <c r="S98" s="342"/>
      <c r="T98" s="1138" t="s">
        <v>46</v>
      </c>
      <c r="U98" s="1138">
        <f>COUNTIF(D90:D109,"유")</f>
        <v>0</v>
      </c>
      <c r="V98" s="1139">
        <f>COUNTIF(I90:I109,"유")</f>
        <v>0</v>
      </c>
      <c r="W98" s="1138" t="s">
        <v>26</v>
      </c>
      <c r="X98" s="1138">
        <f>SUMIF(D90:D109,"유",F90:F109)</f>
        <v>0</v>
      </c>
      <c r="Y98" s="1139">
        <f>SUMIF(I90:I109,"유",K90:K109)</f>
        <v>0</v>
      </c>
      <c r="Z98" s="1138">
        <f>COUNTIF(AJ90:AJ109,"유국")+COUNTIF(AJ90:AJ109,"유공")</f>
        <v>0</v>
      </c>
      <c r="AA98" s="1139">
        <f>COUNTIF(AK90:AK109,"유국")+COUNTIF(AK90:AK109,"유공")</f>
        <v>0</v>
      </c>
      <c r="AB98" s="1138" t="s">
        <v>26</v>
      </c>
      <c r="AC98" s="1138">
        <f>SUMIF(AJ90:AJ109,"유국",F90:F109)+SUMIF(AJ90:AJ109,"유공",F90:F109)</f>
        <v>0</v>
      </c>
      <c r="AD98" s="1139">
        <f>SUMIF(AK90:AK109,"유국",K90:K109)+SUMIF(AK90:AK109,"유공",K90:K109)</f>
        <v>0</v>
      </c>
      <c r="AE98" s="1138">
        <f t="shared" si="18"/>
        <v>0</v>
      </c>
      <c r="AF98" s="1139">
        <f t="shared" si="18"/>
        <v>0</v>
      </c>
      <c r="AG98" s="1138" t="s">
        <v>26</v>
      </c>
      <c r="AH98" s="1138">
        <f t="shared" si="19"/>
        <v>0</v>
      </c>
      <c r="AI98" s="1139">
        <f t="shared" si="19"/>
        <v>0</v>
      </c>
      <c r="AJ98" s="1138" t="str">
        <f t="shared" si="20"/>
        <v>답이숙희</v>
      </c>
      <c r="AK98" s="1138" t="str">
        <f t="shared" si="16"/>
        <v>답공</v>
      </c>
      <c r="AL98" s="66"/>
      <c r="AM98" s="66"/>
    </row>
    <row r="99" spans="1:39" s="67" customFormat="1" ht="24" customHeight="1" x14ac:dyDescent="0.15">
      <c r="A99" s="348">
        <v>90</v>
      </c>
      <c r="B99" s="222" t="s">
        <v>231</v>
      </c>
      <c r="C99" s="1016" t="s">
        <v>595</v>
      </c>
      <c r="D99" s="1016" t="s">
        <v>154</v>
      </c>
      <c r="E99" s="1033">
        <v>252</v>
      </c>
      <c r="F99" s="1033">
        <v>101</v>
      </c>
      <c r="G99" s="417"/>
      <c r="H99" s="1025" t="s">
        <v>595</v>
      </c>
      <c r="I99" s="1025" t="s">
        <v>154</v>
      </c>
      <c r="J99" s="1036">
        <v>252</v>
      </c>
      <c r="K99" s="1036">
        <v>101</v>
      </c>
      <c r="L99" s="1016" t="s">
        <v>155</v>
      </c>
      <c r="M99" s="1016" t="s">
        <v>188</v>
      </c>
      <c r="N99" s="1025" t="s">
        <v>155</v>
      </c>
      <c r="O99" s="1025" t="s">
        <v>188</v>
      </c>
      <c r="P99" s="203"/>
      <c r="Q99" s="203"/>
      <c r="R99" s="203"/>
      <c r="S99" s="345"/>
      <c r="T99" s="1138" t="s">
        <v>47</v>
      </c>
      <c r="U99" s="1138">
        <f>COUNTIF(D90:D109,"과")</f>
        <v>0</v>
      </c>
      <c r="V99" s="1139">
        <f>COUNTIF(I90:I109,"과")</f>
        <v>0</v>
      </c>
      <c r="W99" s="1138" t="s">
        <v>26</v>
      </c>
      <c r="X99" s="1138">
        <f>SUMIF(D90:D109,"과",F90:F109)</f>
        <v>0</v>
      </c>
      <c r="Y99" s="1139">
        <f>SUMIF(I90:I109,"과",K90:K109)</f>
        <v>0</v>
      </c>
      <c r="Z99" s="1138">
        <f>COUNTIF(AJ90:AJ109,"과국")+COUNTIF(AJ90:AJ109,"과공")</f>
        <v>0</v>
      </c>
      <c r="AA99" s="1139">
        <f>COUNTIF(AK90:AK109,"과국")+COUNTIF(AK90:AK109,"과공")</f>
        <v>0</v>
      </c>
      <c r="AB99" s="1138" t="s">
        <v>26</v>
      </c>
      <c r="AC99" s="1138">
        <f>SUMIF(AJ90:AJ109,"과국",F90:F109)+SUMIF(AJ90:AJ109,"과공",F90:F109)</f>
        <v>0</v>
      </c>
      <c r="AD99" s="1139">
        <f>SUMIF(AK90:AK109,"과국",K90:K109)+SUMIF(AK90:AK109,"과공",K90:K109)</f>
        <v>0</v>
      </c>
      <c r="AE99" s="1138">
        <f t="shared" si="18"/>
        <v>0</v>
      </c>
      <c r="AF99" s="1139">
        <f t="shared" si="18"/>
        <v>0</v>
      </c>
      <c r="AG99" s="1138" t="s">
        <v>26</v>
      </c>
      <c r="AH99" s="1138">
        <f t="shared" si="19"/>
        <v>0</v>
      </c>
      <c r="AI99" s="1139">
        <f t="shared" si="19"/>
        <v>0</v>
      </c>
      <c r="AJ99" s="1138" t="str">
        <f t="shared" si="20"/>
        <v>도국</v>
      </c>
      <c r="AK99" s="1138" t="str">
        <f t="shared" si="16"/>
        <v>도국</v>
      </c>
      <c r="AL99" s="66"/>
      <c r="AM99" s="66"/>
    </row>
    <row r="100" spans="1:39" s="67" customFormat="1" ht="24" customHeight="1" x14ac:dyDescent="0.15">
      <c r="A100" s="348">
        <v>91</v>
      </c>
      <c r="B100" s="222" t="s">
        <v>231</v>
      </c>
      <c r="C100" s="1016" t="s">
        <v>596</v>
      </c>
      <c r="D100" s="1016" t="s">
        <v>156</v>
      </c>
      <c r="E100" s="1033">
        <v>129</v>
      </c>
      <c r="F100" s="1033">
        <v>129</v>
      </c>
      <c r="G100" s="417"/>
      <c r="H100" s="1025" t="s">
        <v>596</v>
      </c>
      <c r="I100" s="1025" t="s">
        <v>156</v>
      </c>
      <c r="J100" s="1036">
        <v>129</v>
      </c>
      <c r="K100" s="1036">
        <v>129</v>
      </c>
      <c r="L100" s="1016" t="s">
        <v>352</v>
      </c>
      <c r="M100" s="1016" t="s">
        <v>353</v>
      </c>
      <c r="N100" s="1025" t="s">
        <v>352</v>
      </c>
      <c r="O100" s="1025" t="s">
        <v>353</v>
      </c>
      <c r="P100" s="353"/>
      <c r="Q100" s="353"/>
      <c r="R100" s="353"/>
      <c r="S100" s="345"/>
      <c r="T100" s="1138" t="s">
        <v>36</v>
      </c>
      <c r="U100" s="1138">
        <f>COUNTIF(D90:D109,"묘")</f>
        <v>0</v>
      </c>
      <c r="V100" s="1139">
        <f>COUNTIF(I90:I109,"묘")</f>
        <v>0</v>
      </c>
      <c r="W100" s="1138" t="s">
        <v>26</v>
      </c>
      <c r="X100" s="1138">
        <f>SUMIF(D90:D109,"묘",F90:F109)</f>
        <v>0</v>
      </c>
      <c r="Y100" s="1139">
        <f>SUMIF(I90:I109,"묘",K90:K109)</f>
        <v>0</v>
      </c>
      <c r="Z100" s="1138">
        <f>COUNTIF(AJ90:AJ109,"묘국")+COUNTIF(AJ90:AJ109,"묘공")</f>
        <v>0</v>
      </c>
      <c r="AA100" s="1139">
        <f>COUNTIF(AK90:AK109,"묘국")+COUNTIF(AK90:AK109,"묘공")</f>
        <v>0</v>
      </c>
      <c r="AB100" s="1138" t="s">
        <v>26</v>
      </c>
      <c r="AC100" s="1138">
        <f>SUMIF(AJ90:AJ109,"묘국",F90:F109)+SUMIF(AJ90:AJ109,"묘공",F90:F109)</f>
        <v>0</v>
      </c>
      <c r="AD100" s="1139">
        <f>SUMIF(AK90:AK109,"묘국",K90:K109)+SUMIF(AK90:AK109,"묘공",K90:K109)</f>
        <v>0</v>
      </c>
      <c r="AE100" s="1138">
        <f t="shared" si="18"/>
        <v>0</v>
      </c>
      <c r="AF100" s="1139">
        <f t="shared" si="18"/>
        <v>0</v>
      </c>
      <c r="AG100" s="1138" t="s">
        <v>26</v>
      </c>
      <c r="AH100" s="1138">
        <f t="shared" si="19"/>
        <v>0</v>
      </c>
      <c r="AI100" s="1139">
        <f t="shared" si="19"/>
        <v>0</v>
      </c>
      <c r="AJ100" s="1138" t="str">
        <f t="shared" si="20"/>
        <v>대공</v>
      </c>
      <c r="AK100" s="1138" t="str">
        <f t="shared" si="16"/>
        <v>대공</v>
      </c>
      <c r="AL100" s="66"/>
      <c r="AM100" s="66"/>
    </row>
    <row r="101" spans="1:39" s="67" customFormat="1" ht="24" customHeight="1" x14ac:dyDescent="0.15">
      <c r="A101" s="348">
        <v>92</v>
      </c>
      <c r="B101" s="222" t="s">
        <v>231</v>
      </c>
      <c r="C101" s="1016" t="s">
        <v>597</v>
      </c>
      <c r="D101" s="1016" t="s">
        <v>156</v>
      </c>
      <c r="E101" s="1033">
        <v>126</v>
      </c>
      <c r="F101" s="1033">
        <v>126</v>
      </c>
      <c r="G101" s="417"/>
      <c r="H101" s="1025" t="s">
        <v>597</v>
      </c>
      <c r="I101" s="1025" t="s">
        <v>156</v>
      </c>
      <c r="J101" s="1036">
        <v>126</v>
      </c>
      <c r="K101" s="1036">
        <v>126</v>
      </c>
      <c r="L101" s="1016" t="s">
        <v>602</v>
      </c>
      <c r="M101" s="1016" t="s">
        <v>603</v>
      </c>
      <c r="N101" s="1025" t="s">
        <v>661</v>
      </c>
      <c r="O101" s="1025" t="s">
        <v>671</v>
      </c>
      <c r="P101" s="138"/>
      <c r="Q101" s="138"/>
      <c r="R101" s="102"/>
      <c r="S101" s="342"/>
      <c r="T101" s="1138" t="s">
        <v>39</v>
      </c>
      <c r="U101" s="1138">
        <f>COUNTIF(D90:D109,"수")</f>
        <v>0</v>
      </c>
      <c r="V101" s="1139">
        <f>COUNTIF(I90:I109,"수")</f>
        <v>0</v>
      </c>
      <c r="W101" s="1138" t="s">
        <v>26</v>
      </c>
      <c r="X101" s="1138">
        <f>SUMIF(D90:D109,"수",F90:F109)</f>
        <v>0</v>
      </c>
      <c r="Y101" s="1139">
        <f>SUMIF(I90:I109,"수",K90:K109)</f>
        <v>0</v>
      </c>
      <c r="Z101" s="1138">
        <f>COUNTIF(AJ90:AJ109,"수국")+COUNTIF(AJ90:AJ109,"수공")</f>
        <v>0</v>
      </c>
      <c r="AA101" s="1139">
        <f>COUNTIF(AK90:AK109,"수국")+COUNTIF(AK90:AK109,"수공")</f>
        <v>0</v>
      </c>
      <c r="AB101" s="1138" t="s">
        <v>26</v>
      </c>
      <c r="AC101" s="1138">
        <f>SUMIF(AJ90:AJ109,"수국",F90:F109)+SUMIF(AJ90:AJ109,"수공",F90:F109)</f>
        <v>0</v>
      </c>
      <c r="AD101" s="1139">
        <f>SUMIF(AK90:AK109,"수국",K90:K109)+SUMIF(AK90:AK109,"수공",K90:K109)</f>
        <v>0</v>
      </c>
      <c r="AE101" s="1138">
        <f t="shared" si="18"/>
        <v>0</v>
      </c>
      <c r="AF101" s="1139">
        <f t="shared" si="18"/>
        <v>0</v>
      </c>
      <c r="AG101" s="1138" t="s">
        <v>26</v>
      </c>
      <c r="AH101" s="1138">
        <f t="shared" si="19"/>
        <v>0</v>
      </c>
      <c r="AI101" s="1139">
        <f t="shared" si="19"/>
        <v>0</v>
      </c>
      <c r="AJ101" s="1138" t="str">
        <f t="shared" si="20"/>
        <v>대정천영</v>
      </c>
      <c r="AK101" s="1138" t="str">
        <f t="shared" si="16"/>
        <v>대공</v>
      </c>
      <c r="AL101" s="66"/>
      <c r="AM101" s="66"/>
    </row>
    <row r="102" spans="1:39" s="67" customFormat="1" ht="24" customHeight="1" x14ac:dyDescent="0.15">
      <c r="A102" s="348">
        <v>93</v>
      </c>
      <c r="B102" s="222" t="s">
        <v>231</v>
      </c>
      <c r="C102" s="1016" t="s">
        <v>598</v>
      </c>
      <c r="D102" s="1016" t="s">
        <v>28</v>
      </c>
      <c r="E102" s="1033">
        <v>349</v>
      </c>
      <c r="F102" s="1033">
        <v>349</v>
      </c>
      <c r="G102" s="417"/>
      <c r="H102" s="1025" t="s">
        <v>598</v>
      </c>
      <c r="I102" s="1025" t="s">
        <v>28</v>
      </c>
      <c r="J102" s="1036">
        <v>349</v>
      </c>
      <c r="K102" s="1036">
        <v>349</v>
      </c>
      <c r="L102" s="1016" t="s">
        <v>606</v>
      </c>
      <c r="M102" s="1016" t="s">
        <v>571</v>
      </c>
      <c r="N102" s="1025" t="s">
        <v>660</v>
      </c>
      <c r="O102" s="1025" t="s">
        <v>670</v>
      </c>
      <c r="P102" s="203"/>
      <c r="Q102" s="203"/>
      <c r="R102" s="203"/>
      <c r="S102" s="342"/>
      <c r="T102" s="1138" t="s">
        <v>35</v>
      </c>
      <c r="U102" s="1138">
        <f>COUNTIF(D90:D109,"잡")</f>
        <v>1</v>
      </c>
      <c r="V102" s="1139">
        <f>COUNTIF(I90:I109,"잡")</f>
        <v>1</v>
      </c>
      <c r="W102" s="1138" t="s">
        <v>26</v>
      </c>
      <c r="X102" s="1138">
        <f>SUMIF(D90:D109,"잡",F90:F109)</f>
        <v>124</v>
      </c>
      <c r="Y102" s="1139">
        <f>SUMIF(I90:I109,"잡",K90:K109)</f>
        <v>124</v>
      </c>
      <c r="Z102" s="1138">
        <f>COUNTIF(AJ90:AJ109,"잡국")+COUNTIF(AJ90:AJ109,"잡공")</f>
        <v>0</v>
      </c>
      <c r="AA102" s="1139">
        <f>COUNTIF(AK90:AK109,"잡국")+COUNTIF(AK90:AK109,"잡공")</f>
        <v>1</v>
      </c>
      <c r="AB102" s="1138" t="s">
        <v>26</v>
      </c>
      <c r="AC102" s="1138">
        <f>SUMIF(AJ90:AJ109,"잡국",F90:F109)+SUMIF(AJ90:AJ109,"잡공",F90:F109)</f>
        <v>0</v>
      </c>
      <c r="AD102" s="1139">
        <f>SUMIF(AK90:AK109,"잡국",K90:K109)+SUMIF(AK90:AK109,"잡공",K90:K109)</f>
        <v>124</v>
      </c>
      <c r="AE102" s="1138">
        <f t="shared" si="18"/>
        <v>1</v>
      </c>
      <c r="AF102" s="1139">
        <f t="shared" si="18"/>
        <v>0</v>
      </c>
      <c r="AG102" s="1138" t="s">
        <v>26</v>
      </c>
      <c r="AH102" s="1138">
        <f t="shared" si="19"/>
        <v>124</v>
      </c>
      <c r="AI102" s="1139">
        <f t="shared" si="19"/>
        <v>0</v>
      </c>
      <c r="AJ102" s="1138" t="str">
        <f t="shared" si="20"/>
        <v>답이태훈</v>
      </c>
      <c r="AK102" s="1138" t="str">
        <f t="shared" si="16"/>
        <v>답공</v>
      </c>
      <c r="AL102" s="66"/>
      <c r="AM102" s="66"/>
    </row>
    <row r="103" spans="1:39" s="67" customFormat="1" ht="24" customHeight="1" x14ac:dyDescent="0.15">
      <c r="A103" s="348">
        <v>94</v>
      </c>
      <c r="B103" s="222" t="s">
        <v>231</v>
      </c>
      <c r="C103" s="1016" t="s">
        <v>599</v>
      </c>
      <c r="D103" s="1016" t="s">
        <v>154</v>
      </c>
      <c r="E103" s="1033">
        <v>86</v>
      </c>
      <c r="F103" s="1033">
        <v>6</v>
      </c>
      <c r="G103" s="417"/>
      <c r="H103" s="1025" t="s">
        <v>599</v>
      </c>
      <c r="I103" s="1025" t="s">
        <v>154</v>
      </c>
      <c r="J103" s="1036">
        <v>86</v>
      </c>
      <c r="K103" s="1036">
        <v>6</v>
      </c>
      <c r="L103" s="1016" t="s">
        <v>155</v>
      </c>
      <c r="M103" s="1016" t="s">
        <v>184</v>
      </c>
      <c r="N103" s="1025" t="s">
        <v>155</v>
      </c>
      <c r="O103" s="1025" t="s">
        <v>184</v>
      </c>
      <c r="P103" s="102"/>
      <c r="Q103" s="102"/>
      <c r="R103" s="102"/>
      <c r="S103" s="345"/>
      <c r="T103" s="1138" t="s">
        <v>220</v>
      </c>
      <c r="U103" s="1138">
        <f>COUNTIF(D90:D109,"창")</f>
        <v>1</v>
      </c>
      <c r="V103" s="1139">
        <f>COUNTIF(I90:I109,"창")</f>
        <v>1</v>
      </c>
      <c r="W103" s="1138" t="s">
        <v>26</v>
      </c>
      <c r="X103" s="1138">
        <f>SUMIF(D90:D109,"창",F90:F109)</f>
        <v>27</v>
      </c>
      <c r="Y103" s="1139">
        <f>SUMIF(I90:I109,"창",K90:K109)</f>
        <v>27</v>
      </c>
      <c r="Z103" s="1138">
        <f>COUNTIF(AJ90:AJ109,"창국")+COUNTIF(AJ90:AJ109,"창공")</f>
        <v>0</v>
      </c>
      <c r="AA103" s="1139">
        <f>COUNTIF(AK90:AK109,"창국")+COUNTIF(AK90:AK109,"창공")</f>
        <v>1</v>
      </c>
      <c r="AB103" s="1138" t="s">
        <v>26</v>
      </c>
      <c r="AC103" s="1138">
        <f>SUMIF(AJ90:AJ109,"창국",F90:F109)+SUMIF(AJ90:AJ109,"창공",F90:F109)</f>
        <v>0</v>
      </c>
      <c r="AD103" s="1139">
        <f>SUMIF(AK90:AK109,"창국",K90:K109)+SUMIF(AK90:AK109,"창공",K90:K109)</f>
        <v>27</v>
      </c>
      <c r="AE103" s="1138">
        <f t="shared" si="18"/>
        <v>1</v>
      </c>
      <c r="AF103" s="1139">
        <f t="shared" si="18"/>
        <v>0</v>
      </c>
      <c r="AG103" s="1138" t="s">
        <v>26</v>
      </c>
      <c r="AH103" s="1138">
        <f t="shared" si="19"/>
        <v>27</v>
      </c>
      <c r="AI103" s="1139">
        <f t="shared" si="19"/>
        <v>0</v>
      </c>
      <c r="AJ103" s="1138" t="str">
        <f t="shared" si="20"/>
        <v>도국</v>
      </c>
      <c r="AK103" s="1138" t="str">
        <f t="shared" si="16"/>
        <v>도국</v>
      </c>
      <c r="AL103" s="66"/>
      <c r="AM103" s="66"/>
    </row>
    <row r="104" spans="1:39" s="67" customFormat="1" ht="24" customHeight="1" thickBot="1" x14ac:dyDescent="0.2">
      <c r="A104" s="348">
        <v>95</v>
      </c>
      <c r="B104" s="222" t="s">
        <v>231</v>
      </c>
      <c r="C104" s="1016" t="s">
        <v>600</v>
      </c>
      <c r="D104" s="1016" t="s">
        <v>601</v>
      </c>
      <c r="E104" s="1033">
        <v>285</v>
      </c>
      <c r="F104" s="1033">
        <v>285</v>
      </c>
      <c r="G104" s="417"/>
      <c r="H104" s="1025" t="s">
        <v>600</v>
      </c>
      <c r="I104" s="1025" t="s">
        <v>601</v>
      </c>
      <c r="J104" s="1036">
        <v>285</v>
      </c>
      <c r="K104" s="1036">
        <v>285</v>
      </c>
      <c r="L104" s="1037" t="s">
        <v>609</v>
      </c>
      <c r="M104" s="1016" t="s">
        <v>610</v>
      </c>
      <c r="N104" s="1025" t="s">
        <v>660</v>
      </c>
      <c r="O104" s="1025" t="s">
        <v>669</v>
      </c>
      <c r="P104" s="102"/>
      <c r="Q104" s="102"/>
      <c r="R104" s="138"/>
      <c r="S104" s="345"/>
      <c r="T104" s="1138" t="s">
        <v>50</v>
      </c>
      <c r="U104" s="1138">
        <f>COUNTIF(D90:D109,"공")</f>
        <v>0</v>
      </c>
      <c r="V104" s="1139">
        <f>COUNTIF(I90:I109,"공")</f>
        <v>0</v>
      </c>
      <c r="W104" s="1138" t="s">
        <v>26</v>
      </c>
      <c r="X104" s="1138">
        <f>SUMIF(D90:D109,"공",F90:F109)</f>
        <v>0</v>
      </c>
      <c r="Y104" s="1139">
        <f>SUMIF(I90:I109,"공",K90:K109)</f>
        <v>0</v>
      </c>
      <c r="Z104" s="1138">
        <f>COUNTIF(AJ90:AJ109,"공국")+COUNTIF(AJ90:AJ109,"공공")</f>
        <v>0</v>
      </c>
      <c r="AA104" s="1139">
        <f>COUNTIF(AK90:AK109,"공국")+COUNTIF(AK90:AK109,"공공")</f>
        <v>0</v>
      </c>
      <c r="AB104" s="1138" t="s">
        <v>26</v>
      </c>
      <c r="AC104" s="1138">
        <f>SUMIF(AJ90:AJ109,"공국",F90:F109)+SUMIF(AJ90:AJ109,"공공",F90:F109)</f>
        <v>0</v>
      </c>
      <c r="AD104" s="1139">
        <f>SUMIF(AK90:AK109,"공국",K90:K109)+SUMIF(AK90:AK109,"공공",K90:K109)</f>
        <v>0</v>
      </c>
      <c r="AE104" s="1138">
        <f t="shared" si="18"/>
        <v>0</v>
      </c>
      <c r="AF104" s="1139">
        <f t="shared" si="18"/>
        <v>0</v>
      </c>
      <c r="AG104" s="1138" t="s">
        <v>26</v>
      </c>
      <c r="AH104" s="1138">
        <f t="shared" si="19"/>
        <v>0</v>
      </c>
      <c r="AI104" s="1139">
        <f t="shared" si="19"/>
        <v>0</v>
      </c>
      <c r="AJ104" s="1138" t="str">
        <f t="shared" si="20"/>
        <v>주서홍천농업 협동조합</v>
      </c>
      <c r="AK104" s="1138" t="str">
        <f t="shared" si="16"/>
        <v>주공</v>
      </c>
      <c r="AL104" s="66"/>
      <c r="AM104" s="66"/>
    </row>
    <row r="105" spans="1:39" s="67" customFormat="1" ht="24" customHeight="1" x14ac:dyDescent="0.15">
      <c r="A105" s="348">
        <v>96</v>
      </c>
      <c r="B105" s="222" t="s">
        <v>231</v>
      </c>
      <c r="C105" s="1016" t="s">
        <v>612</v>
      </c>
      <c r="D105" s="1016" t="s">
        <v>27</v>
      </c>
      <c r="E105" s="1033">
        <v>18</v>
      </c>
      <c r="F105" s="1033">
        <v>18</v>
      </c>
      <c r="G105" s="1013"/>
      <c r="H105" s="1025" t="s">
        <v>612</v>
      </c>
      <c r="I105" s="1025" t="s">
        <v>27</v>
      </c>
      <c r="J105" s="1036">
        <v>18</v>
      </c>
      <c r="K105" s="1036">
        <v>18</v>
      </c>
      <c r="L105" s="1016" t="s">
        <v>632</v>
      </c>
      <c r="M105" s="1016" t="s">
        <v>633</v>
      </c>
      <c r="N105" s="1025" t="s">
        <v>660</v>
      </c>
      <c r="O105" s="1025" t="s">
        <v>670</v>
      </c>
      <c r="P105" s="155"/>
      <c r="Q105" s="155"/>
      <c r="R105" s="155"/>
      <c r="S105" s="342"/>
      <c r="T105" s="1142" t="s">
        <v>219</v>
      </c>
      <c r="U105" s="1138">
        <f>COUNTIF(D90:D109,"주")</f>
        <v>1</v>
      </c>
      <c r="V105" s="1139">
        <f>COUNTIF(I90:I109,"주")</f>
        <v>1</v>
      </c>
      <c r="W105" s="1138" t="s">
        <v>26</v>
      </c>
      <c r="X105" s="1138">
        <f>SUMIF(D90:D109,"주",F90:F109)</f>
        <v>285</v>
      </c>
      <c r="Y105" s="1139">
        <f>SUMIF(I90:I109,"주",K90:K109)</f>
        <v>285</v>
      </c>
      <c r="Z105" s="1138">
        <f>COUNTIF(AJ90:AJ109,"주국")+COUNTIF(AJ90:AJ109,"주공")</f>
        <v>0</v>
      </c>
      <c r="AA105" s="1139">
        <f>COUNTIF(AK90:AK109,"주국")+COUNTIF(AK90:AK109,"주공")</f>
        <v>1</v>
      </c>
      <c r="AB105" s="1138" t="s">
        <v>26</v>
      </c>
      <c r="AC105" s="1138">
        <f>SUMIF(AJ90:AJ109,"주국",F90:F109)+SUMIF(AJ90:AJ109,"주공",F90:F109)</f>
        <v>0</v>
      </c>
      <c r="AD105" s="1139">
        <f>SUMIF(AK90:AK109,"주국",K90:K109)+SUMIF(AK90:AK109,"주공",K90:K109)</f>
        <v>285</v>
      </c>
      <c r="AE105" s="1138">
        <f t="shared" si="18"/>
        <v>1</v>
      </c>
      <c r="AF105" s="1139">
        <f t="shared" si="18"/>
        <v>0</v>
      </c>
      <c r="AG105" s="1138" t="s">
        <v>26</v>
      </c>
      <c r="AH105" s="1138">
        <f t="shared" si="19"/>
        <v>285</v>
      </c>
      <c r="AI105" s="1139">
        <f t="shared" si="19"/>
        <v>0</v>
      </c>
      <c r="AJ105" s="1138" t="str">
        <f t="shared" si="20"/>
        <v>전이효순</v>
      </c>
      <c r="AK105" s="1138" t="str">
        <f t="shared" si="16"/>
        <v>전공</v>
      </c>
      <c r="AL105" s="66"/>
      <c r="AM105" s="66"/>
    </row>
    <row r="106" spans="1:39" s="67" customFormat="1" ht="24" customHeight="1" x14ac:dyDescent="0.15">
      <c r="A106" s="348">
        <v>97</v>
      </c>
      <c r="B106" s="222" t="s">
        <v>231</v>
      </c>
      <c r="C106" s="1016" t="s">
        <v>613</v>
      </c>
      <c r="D106" s="1016" t="s">
        <v>558</v>
      </c>
      <c r="E106" s="1033">
        <v>27</v>
      </c>
      <c r="F106" s="1033">
        <v>27</v>
      </c>
      <c r="G106" s="417"/>
      <c r="H106" s="1025" t="s">
        <v>613</v>
      </c>
      <c r="I106" s="1025" t="s">
        <v>558</v>
      </c>
      <c r="J106" s="1036">
        <v>27</v>
      </c>
      <c r="K106" s="1036">
        <v>27</v>
      </c>
      <c r="L106" s="1016" t="s">
        <v>632</v>
      </c>
      <c r="M106" s="1016" t="s">
        <v>633</v>
      </c>
      <c r="N106" s="1025" t="s">
        <v>660</v>
      </c>
      <c r="O106" s="1025" t="s">
        <v>669</v>
      </c>
      <c r="P106" s="203"/>
      <c r="Q106" s="203"/>
      <c r="R106" s="203"/>
      <c r="S106" s="345"/>
      <c r="T106" s="1142" t="s">
        <v>5</v>
      </c>
      <c r="U106" s="1138">
        <f>COUNTIF(D90:D109,"목")</f>
        <v>1</v>
      </c>
      <c r="V106" s="1139">
        <f>COUNTIF(I90:I109,"목")</f>
        <v>1</v>
      </c>
      <c r="W106" s="1138" t="s">
        <v>26</v>
      </c>
      <c r="X106" s="1138">
        <f>SUMIF(D90:D109,"목",F90:F109)</f>
        <v>26</v>
      </c>
      <c r="Y106" s="1139">
        <f>SUMIF(I90:I109,"목",K90:K109)</f>
        <v>26</v>
      </c>
      <c r="Z106" s="1138">
        <f>COUNTIF(AJ90:AJ109,"목국")+COUNTIF(AJ90:AJ109,"목공")</f>
        <v>0</v>
      </c>
      <c r="AA106" s="1139">
        <f>COUNTIF(AK90:AK109,"목국")+COUNTIF(AK90:AK109,"목공")</f>
        <v>1</v>
      </c>
      <c r="AB106" s="1138" t="s">
        <v>26</v>
      </c>
      <c r="AC106" s="1138">
        <f>SUMIF(AJ90:AJ109,"목국",F90:F109)+SUMIF(AJ90:AJ109,"목공",F90:F109)</f>
        <v>0</v>
      </c>
      <c r="AD106" s="1139">
        <f>SUMIF(AK90:AK109,"목국",K90:K109)+SUMIF(AK90:AK109,"목공",K90:K109)</f>
        <v>26</v>
      </c>
      <c r="AE106" s="1138">
        <f t="shared" si="18"/>
        <v>1</v>
      </c>
      <c r="AF106" s="1139">
        <f t="shared" si="18"/>
        <v>0</v>
      </c>
      <c r="AG106" s="1138" t="s">
        <v>26</v>
      </c>
      <c r="AH106" s="1138">
        <f t="shared" si="19"/>
        <v>26</v>
      </c>
      <c r="AI106" s="1139">
        <f t="shared" si="19"/>
        <v>0</v>
      </c>
      <c r="AJ106" s="1138" t="str">
        <f t="shared" si="20"/>
        <v>창이효순</v>
      </c>
      <c r="AK106" s="1138" t="str">
        <f t="shared" si="16"/>
        <v>창공</v>
      </c>
      <c r="AL106" s="66"/>
      <c r="AM106" s="66"/>
    </row>
    <row r="107" spans="1:39" s="67" customFormat="1" ht="24" customHeight="1" x14ac:dyDescent="0.15">
      <c r="A107" s="348">
        <v>98</v>
      </c>
      <c r="B107" s="222" t="s">
        <v>231</v>
      </c>
      <c r="C107" s="1016" t="s">
        <v>676</v>
      </c>
      <c r="D107" s="1016" t="s">
        <v>614</v>
      </c>
      <c r="E107" s="1033">
        <v>124</v>
      </c>
      <c r="F107" s="1033">
        <v>124</v>
      </c>
      <c r="G107" s="417"/>
      <c r="H107" s="1025" t="s">
        <v>677</v>
      </c>
      <c r="I107" s="1025" t="s">
        <v>614</v>
      </c>
      <c r="J107" s="1036">
        <v>124</v>
      </c>
      <c r="K107" s="1036">
        <v>124</v>
      </c>
      <c r="L107" s="1016" t="s">
        <v>634</v>
      </c>
      <c r="M107" s="1016" t="s">
        <v>635</v>
      </c>
      <c r="N107" s="1025" t="s">
        <v>660</v>
      </c>
      <c r="O107" s="1025" t="s">
        <v>670</v>
      </c>
      <c r="P107" s="203"/>
      <c r="Q107" s="203"/>
      <c r="R107" s="203"/>
      <c r="S107" s="342"/>
      <c r="T107" s="1142"/>
      <c r="U107" s="1142"/>
      <c r="V107" s="1143"/>
      <c r="W107" s="1142"/>
      <c r="X107" s="1142"/>
      <c r="Y107" s="1143"/>
      <c r="Z107" s="1138"/>
      <c r="AA107" s="1139"/>
      <c r="AB107" s="1142"/>
      <c r="AC107" s="1138"/>
      <c r="AD107" s="1139"/>
      <c r="AE107" s="1142"/>
      <c r="AF107" s="1143"/>
      <c r="AG107" s="1142"/>
      <c r="AH107" s="1142"/>
      <c r="AI107" s="1143"/>
      <c r="AJ107" s="1138" t="str">
        <f t="shared" si="20"/>
        <v>잡심재성</v>
      </c>
      <c r="AK107" s="1138" t="str">
        <f t="shared" si="16"/>
        <v>잡공</v>
      </c>
      <c r="AL107" s="66"/>
      <c r="AM107" s="66"/>
    </row>
    <row r="108" spans="1:39" s="67" customFormat="1" ht="24" customHeight="1" x14ac:dyDescent="0.15">
      <c r="A108" s="348">
        <v>99</v>
      </c>
      <c r="B108" s="222" t="s">
        <v>231</v>
      </c>
      <c r="C108" s="1016" t="s">
        <v>615</v>
      </c>
      <c r="D108" s="1016" t="s">
        <v>154</v>
      </c>
      <c r="E108" s="1033">
        <v>234</v>
      </c>
      <c r="F108" s="1033">
        <v>4</v>
      </c>
      <c r="G108" s="417"/>
      <c r="H108" s="1025" t="s">
        <v>615</v>
      </c>
      <c r="I108" s="1025" t="s">
        <v>154</v>
      </c>
      <c r="J108" s="1036">
        <v>234</v>
      </c>
      <c r="K108" s="1036">
        <v>4</v>
      </c>
      <c r="L108" s="1016" t="s">
        <v>155</v>
      </c>
      <c r="M108" s="1016" t="s">
        <v>188</v>
      </c>
      <c r="N108" s="1025" t="s">
        <v>155</v>
      </c>
      <c r="O108" s="1025" t="s">
        <v>188</v>
      </c>
      <c r="P108" s="370"/>
      <c r="Q108" s="370"/>
      <c r="R108" s="370"/>
      <c r="S108" s="342"/>
      <c r="T108" s="1142"/>
      <c r="U108" s="1142"/>
      <c r="V108" s="1143"/>
      <c r="W108" s="1142"/>
      <c r="X108" s="1142"/>
      <c r="Y108" s="1143"/>
      <c r="Z108" s="1138"/>
      <c r="AA108" s="1139"/>
      <c r="AB108" s="1142"/>
      <c r="AC108" s="1138"/>
      <c r="AD108" s="1139"/>
      <c r="AE108" s="1142"/>
      <c r="AF108" s="1143"/>
      <c r="AG108" s="1142"/>
      <c r="AH108" s="1142"/>
      <c r="AI108" s="1143"/>
      <c r="AJ108" s="1138" t="str">
        <f t="shared" si="20"/>
        <v>도국</v>
      </c>
      <c r="AK108" s="1138" t="str">
        <f t="shared" si="16"/>
        <v>도국</v>
      </c>
      <c r="AL108" s="66"/>
      <c r="AM108" s="66"/>
    </row>
    <row r="109" spans="1:39" s="67" customFormat="1" ht="24" customHeight="1" x14ac:dyDescent="0.15">
      <c r="A109" s="348">
        <v>100</v>
      </c>
      <c r="B109" s="222" t="s">
        <v>231</v>
      </c>
      <c r="C109" s="1016" t="s">
        <v>616</v>
      </c>
      <c r="D109" s="1016" t="s">
        <v>27</v>
      </c>
      <c r="E109" s="1033">
        <v>4</v>
      </c>
      <c r="F109" s="1033">
        <v>4</v>
      </c>
      <c r="G109" s="417"/>
      <c r="H109" s="1025" t="s">
        <v>616</v>
      </c>
      <c r="I109" s="1025" t="s">
        <v>27</v>
      </c>
      <c r="J109" s="1036">
        <v>4</v>
      </c>
      <c r="K109" s="1036">
        <v>4</v>
      </c>
      <c r="L109" s="1016" t="s">
        <v>634</v>
      </c>
      <c r="M109" s="1016" t="s">
        <v>635</v>
      </c>
      <c r="N109" s="1025" t="s">
        <v>660</v>
      </c>
      <c r="O109" s="1025" t="s">
        <v>669</v>
      </c>
      <c r="P109" s="370"/>
      <c r="Q109" s="370"/>
      <c r="R109" s="370"/>
      <c r="S109" s="342"/>
      <c r="T109" s="1144" t="s">
        <v>37</v>
      </c>
      <c r="U109" s="1144">
        <f>COUNTIF(D90:D109,"철")</f>
        <v>0</v>
      </c>
      <c r="V109" s="1145">
        <f>COUNTIF(I90:I109,"철")</f>
        <v>0</v>
      </c>
      <c r="W109" s="1144" t="s">
        <v>26</v>
      </c>
      <c r="X109" s="1144">
        <f>SUMIF(D90:D109,"철",F90:F109)</f>
        <v>0</v>
      </c>
      <c r="Y109" s="1145">
        <f>SUMIF(I90:I109,"철",K90:K109)</f>
        <v>0</v>
      </c>
      <c r="Z109" s="1138">
        <f>COUNTIF(AJ90:AJ109,"철국")+COUNTIF(AJ90:AJ109,"철공")</f>
        <v>0</v>
      </c>
      <c r="AA109" s="1139">
        <f>COUNTIF(AK90:AK109,"철국")+COUNTIF(AK90:AK109,"철공")</f>
        <v>0</v>
      </c>
      <c r="AB109" s="1144" t="s">
        <v>26</v>
      </c>
      <c r="AC109" s="1138">
        <f>SUMIF(AJ90:AJ109,"철국",F90:F109)+SUMIF(AJ90:AJ109,"철공",F90:F109)</f>
        <v>0</v>
      </c>
      <c r="AD109" s="1139">
        <f>SUMIF(AK90:AK109,"철국",K90:K109)+SUMIF(AK90:AK109,"철공",K90:K109)</f>
        <v>0</v>
      </c>
      <c r="AE109" s="1144"/>
      <c r="AF109" s="1145"/>
      <c r="AG109" s="1144"/>
      <c r="AH109" s="1144"/>
      <c r="AI109" s="1145"/>
      <c r="AJ109" s="1138" t="str">
        <f t="shared" si="20"/>
        <v>전심재성</v>
      </c>
      <c r="AK109" s="1138" t="str">
        <f t="shared" si="16"/>
        <v>전공</v>
      </c>
      <c r="AL109" s="66"/>
      <c r="AM109" s="66"/>
    </row>
    <row r="110" spans="1:39" s="57" customFormat="1" ht="24" customHeight="1" thickBot="1" x14ac:dyDescent="0.2">
      <c r="A110" s="1146" t="s">
        <v>48</v>
      </c>
      <c r="B110" s="1147"/>
      <c r="C110" s="1147"/>
      <c r="D110" s="1147"/>
      <c r="E110" s="1147"/>
      <c r="F110" s="1148">
        <f>SUM(F90:F109)</f>
        <v>3757</v>
      </c>
      <c r="G110" s="1149"/>
      <c r="H110" s="1149"/>
      <c r="I110" s="1150"/>
      <c r="J110" s="1151"/>
      <c r="K110" s="1152">
        <f>SUM(K90:K109)</f>
        <v>3757</v>
      </c>
      <c r="L110" s="1153"/>
      <c r="M110" s="1153"/>
      <c r="N110" s="1154"/>
      <c r="O110" s="1154"/>
      <c r="P110" s="1153"/>
      <c r="Q110" s="1153"/>
      <c r="R110" s="1153"/>
      <c r="S110" s="1155"/>
      <c r="T110" s="1156" t="s">
        <v>24</v>
      </c>
      <c r="U110" s="1157">
        <f t="shared" ref="U110:AA110" si="21">SUM(U90:U109)</f>
        <v>20</v>
      </c>
      <c r="V110" s="1157">
        <f t="shared" si="21"/>
        <v>20</v>
      </c>
      <c r="W110" s="1157">
        <f t="shared" si="21"/>
        <v>0</v>
      </c>
      <c r="X110" s="1157">
        <f t="shared" si="21"/>
        <v>3757</v>
      </c>
      <c r="Y110" s="1157">
        <f t="shared" si="21"/>
        <v>3757</v>
      </c>
      <c r="Z110" s="1138">
        <f t="shared" si="21"/>
        <v>7</v>
      </c>
      <c r="AA110" s="1139">
        <f t="shared" si="21"/>
        <v>20</v>
      </c>
      <c r="AB110" s="1138" t="s">
        <v>26</v>
      </c>
      <c r="AC110" s="1138">
        <f>SUM(AC90:AC109)</f>
        <v>547</v>
      </c>
      <c r="AD110" s="1139">
        <f>SUM(AD90:AD109)</f>
        <v>3757</v>
      </c>
      <c r="AE110" s="1157">
        <f>SUM(AE90:AE109)</f>
        <v>13</v>
      </c>
      <c r="AF110" s="1157">
        <f>SUM(AF90:AF109)</f>
        <v>0</v>
      </c>
      <c r="AG110" s="1157" t="s">
        <v>26</v>
      </c>
      <c r="AH110" s="1157">
        <f>SUM(AH90:AH109)</f>
        <v>3210</v>
      </c>
      <c r="AI110" s="1157">
        <f>SUM(AI90:AI109)</f>
        <v>0</v>
      </c>
      <c r="AJ110" s="1157"/>
      <c r="AK110" s="1138" t="str">
        <f t="shared" si="16"/>
        <v/>
      </c>
    </row>
    <row r="111" spans="1:39" s="67" customFormat="1" ht="24" customHeight="1" x14ac:dyDescent="0.15">
      <c r="A111" s="159">
        <v>101</v>
      </c>
      <c r="B111" s="318" t="s">
        <v>228</v>
      </c>
      <c r="C111" s="1016" t="s">
        <v>617</v>
      </c>
      <c r="D111" s="1016" t="s">
        <v>27</v>
      </c>
      <c r="E111" s="1033">
        <v>342</v>
      </c>
      <c r="F111" s="1033">
        <v>342</v>
      </c>
      <c r="G111" s="417"/>
      <c r="H111" s="1025" t="s">
        <v>617</v>
      </c>
      <c r="I111" s="1025" t="s">
        <v>27</v>
      </c>
      <c r="J111" s="1036">
        <v>342</v>
      </c>
      <c r="K111" s="1036">
        <v>342</v>
      </c>
      <c r="L111" s="1016" t="s">
        <v>636</v>
      </c>
      <c r="M111" s="1016" t="s">
        <v>644</v>
      </c>
      <c r="N111" s="1025" t="s">
        <v>660</v>
      </c>
      <c r="O111" s="1025" t="s">
        <v>669</v>
      </c>
      <c r="P111" s="158"/>
      <c r="Q111" s="158"/>
      <c r="R111" s="158"/>
      <c r="S111" s="358"/>
      <c r="T111" s="1138" t="s">
        <v>27</v>
      </c>
      <c r="U111" s="1138">
        <f>COUNTIF(D111:D130,"전")</f>
        <v>9</v>
      </c>
      <c r="V111" s="1139">
        <f>COUNTIF(I111:I130,"전")</f>
        <v>8</v>
      </c>
      <c r="W111" s="1138" t="s">
        <v>26</v>
      </c>
      <c r="X111" s="1138">
        <f>SUMIF(D111:D130,"전",F111:F130)</f>
        <v>1630</v>
      </c>
      <c r="Y111" s="1139">
        <f>SUMIF(I111:I130,"전",K111:K130)</f>
        <v>1620</v>
      </c>
      <c r="Z111" s="1138">
        <f>COUNTIF(AJ111:AJ130,"전국")+COUNTIF(AJ111:AJ130,"전공")</f>
        <v>0</v>
      </c>
      <c r="AA111" s="1139">
        <f>COUNTIF(AK111:AK130,"전국")+COUNTIF(AK111:AK130,"전공")</f>
        <v>8</v>
      </c>
      <c r="AB111" s="1138" t="s">
        <v>26</v>
      </c>
      <c r="AC111" s="1138">
        <f>SUMIF(AJ111:AJ130,"전국",F111:F130)+SUMIF(AJ111:AJ130,"전공",F111:F130)</f>
        <v>0</v>
      </c>
      <c r="AD111" s="1139">
        <f>SUMIF(AK111:AK130,"전국",K111:K130)+SUMIF(AK111:AK130,"전공",K111:K130)</f>
        <v>1620</v>
      </c>
      <c r="AE111" s="1138">
        <f t="shared" ref="AE111:AF127" si="22">U111-Z111</f>
        <v>9</v>
      </c>
      <c r="AF111" s="1139">
        <f t="shared" si="22"/>
        <v>0</v>
      </c>
      <c r="AG111" s="1138" t="s">
        <v>26</v>
      </c>
      <c r="AH111" s="1138">
        <f t="shared" ref="AH111:AI127" si="23">X111-AC111</f>
        <v>1630</v>
      </c>
      <c r="AI111" s="1139">
        <f t="shared" si="23"/>
        <v>0</v>
      </c>
      <c r="AJ111" s="1138" t="str">
        <f t="shared" ref="AJ111:AJ130" si="24">CONCATENATE(D111,L111)</f>
        <v>전정성채</v>
      </c>
      <c r="AK111" s="1138" t="str">
        <f t="shared" si="16"/>
        <v>전공</v>
      </c>
    </row>
    <row r="112" spans="1:39" s="67" customFormat="1" ht="24" customHeight="1" x14ac:dyDescent="0.15">
      <c r="A112" s="348">
        <v>102</v>
      </c>
      <c r="B112" s="222" t="s">
        <v>231</v>
      </c>
      <c r="C112" s="1016" t="s">
        <v>619</v>
      </c>
      <c r="D112" s="1016" t="s">
        <v>27</v>
      </c>
      <c r="E112" s="1033">
        <v>80</v>
      </c>
      <c r="F112" s="1033">
        <v>80</v>
      </c>
      <c r="G112" s="417"/>
      <c r="H112" s="1025" t="s">
        <v>619</v>
      </c>
      <c r="I112" s="1025" t="s">
        <v>27</v>
      </c>
      <c r="J112" s="1036">
        <v>80</v>
      </c>
      <c r="K112" s="1036">
        <v>80</v>
      </c>
      <c r="L112" s="1016" t="s">
        <v>637</v>
      </c>
      <c r="M112" s="1016" t="s">
        <v>638</v>
      </c>
      <c r="N112" s="1025" t="s">
        <v>660</v>
      </c>
      <c r="O112" s="1025" t="s">
        <v>670</v>
      </c>
      <c r="P112" s="102"/>
      <c r="Q112" s="102"/>
      <c r="R112" s="102"/>
      <c r="S112" s="342"/>
      <c r="T112" s="1138" t="s">
        <v>28</v>
      </c>
      <c r="U112" s="1138">
        <f>COUNTIF(D111:D130,"답")</f>
        <v>4</v>
      </c>
      <c r="V112" s="1139">
        <f>COUNTIF(I111:I130,"답")</f>
        <v>4</v>
      </c>
      <c r="W112" s="1138" t="s">
        <v>26</v>
      </c>
      <c r="X112" s="1138">
        <f>SUMIF(D111:D130,"답",F111:F130)</f>
        <v>271</v>
      </c>
      <c r="Y112" s="1139">
        <f>SUMIF(I111:I130,"답",K111:K130)</f>
        <v>271</v>
      </c>
      <c r="Z112" s="1138">
        <f>COUNTIF(AJ111:AJ130,"답국")+COUNTIF(AJ111:AJ130,"답공")</f>
        <v>0</v>
      </c>
      <c r="AA112" s="1139">
        <f>COUNTIF(AK111:AK130,"답국")+COUNTIF(AK111:AK130,"답공")</f>
        <v>4</v>
      </c>
      <c r="AB112" s="1138" t="s">
        <v>26</v>
      </c>
      <c r="AC112" s="1138">
        <f>SUMIF(AJ111:AJ130,"답국",F111:F130)+SUMIF(AJ111:AJ130,"답공",F111:F130)</f>
        <v>0</v>
      </c>
      <c r="AD112" s="1139">
        <f>SUMIF(AK111:AK130,"답국",K111:K130)+SUMIF(AK111:AK130,"답공",K111:K130)</f>
        <v>271</v>
      </c>
      <c r="AE112" s="1138">
        <f t="shared" si="22"/>
        <v>4</v>
      </c>
      <c r="AF112" s="1139">
        <f t="shared" si="22"/>
        <v>0</v>
      </c>
      <c r="AG112" s="1138" t="s">
        <v>26</v>
      </c>
      <c r="AH112" s="1138">
        <f t="shared" si="23"/>
        <v>271</v>
      </c>
      <c r="AI112" s="1139">
        <f t="shared" si="23"/>
        <v>0</v>
      </c>
      <c r="AJ112" s="1138" t="str">
        <f t="shared" si="24"/>
        <v>전김동필</v>
      </c>
      <c r="AK112" s="1138" t="str">
        <f t="shared" si="16"/>
        <v>전공</v>
      </c>
    </row>
    <row r="113" spans="1:39" s="67" customFormat="1" ht="24" customHeight="1" x14ac:dyDescent="0.15">
      <c r="A113" s="348">
        <v>103</v>
      </c>
      <c r="B113" s="222" t="s">
        <v>231</v>
      </c>
      <c r="C113" s="1016" t="s">
        <v>620</v>
      </c>
      <c r="D113" s="1016" t="s">
        <v>27</v>
      </c>
      <c r="E113" s="1033">
        <v>6</v>
      </c>
      <c r="F113" s="1033">
        <v>6</v>
      </c>
      <c r="G113" s="417"/>
      <c r="H113" s="1025" t="s">
        <v>620</v>
      </c>
      <c r="I113" s="1025" t="s">
        <v>27</v>
      </c>
      <c r="J113" s="1036">
        <v>6</v>
      </c>
      <c r="K113" s="1036">
        <v>6</v>
      </c>
      <c r="L113" s="1016" t="s">
        <v>637</v>
      </c>
      <c r="M113" s="1016" t="s">
        <v>638</v>
      </c>
      <c r="N113" s="1025" t="s">
        <v>660</v>
      </c>
      <c r="O113" s="1025" t="s">
        <v>669</v>
      </c>
      <c r="P113" s="102"/>
      <c r="Q113" s="102"/>
      <c r="R113" s="138"/>
      <c r="S113" s="342"/>
      <c r="T113" s="1138" t="s">
        <v>44</v>
      </c>
      <c r="U113" s="1138">
        <f>COUNTIF(D111:D130,"임")</f>
        <v>2</v>
      </c>
      <c r="V113" s="1139">
        <f>COUNTIF(I111:I130,"임")</f>
        <v>0</v>
      </c>
      <c r="W113" s="1138" t="s">
        <v>26</v>
      </c>
      <c r="X113" s="1138">
        <f>SUMIF(D111:D130,"임",F111:F130)</f>
        <v>282</v>
      </c>
      <c r="Y113" s="1139">
        <f>SUMIF(I111:I130,"임",K111:K130)</f>
        <v>0</v>
      </c>
      <c r="Z113" s="1138">
        <f>COUNTIF(AJ111:AJ130,"임국")+COUNTIF(AJ111:AJ130,"임공")</f>
        <v>0</v>
      </c>
      <c r="AA113" s="1139">
        <f>COUNTIF(AK111:AK130,"임국")+COUNTIF(AK111:AK130,"임공")</f>
        <v>0</v>
      </c>
      <c r="AB113" s="1138" t="s">
        <v>26</v>
      </c>
      <c r="AC113" s="1138">
        <f>SUMIF(AJ111:AJ130,"임국",F111:F130)+SUMIF(AJ111:AJ130,"임공",F111:F130)</f>
        <v>0</v>
      </c>
      <c r="AD113" s="1139">
        <f>SUMIF(AK111:AK130,"임국",K111:K130)+SUMIF(AK111:AK130,"임공",K111:K130)</f>
        <v>0</v>
      </c>
      <c r="AE113" s="1138">
        <f t="shared" si="22"/>
        <v>2</v>
      </c>
      <c r="AF113" s="1139">
        <f t="shared" si="22"/>
        <v>0</v>
      </c>
      <c r="AG113" s="1138" t="s">
        <v>26</v>
      </c>
      <c r="AH113" s="1138">
        <f t="shared" si="23"/>
        <v>282</v>
      </c>
      <c r="AI113" s="1139">
        <f t="shared" si="23"/>
        <v>0</v>
      </c>
      <c r="AJ113" s="1138" t="str">
        <f t="shared" si="24"/>
        <v>전김동필</v>
      </c>
      <c r="AK113" s="1138" t="str">
        <f t="shared" si="16"/>
        <v>전공</v>
      </c>
      <c r="AL113" s="66"/>
      <c r="AM113" s="66"/>
    </row>
    <row r="114" spans="1:39" s="67" customFormat="1" ht="24" customHeight="1" x14ac:dyDescent="0.15">
      <c r="A114" s="348">
        <v>104</v>
      </c>
      <c r="B114" s="222" t="s">
        <v>231</v>
      </c>
      <c r="C114" s="1016" t="s">
        <v>618</v>
      </c>
      <c r="D114" s="1016" t="s">
        <v>27</v>
      </c>
      <c r="E114" s="1033">
        <v>92</v>
      </c>
      <c r="F114" s="1033">
        <v>92</v>
      </c>
      <c r="G114" s="417"/>
      <c r="H114" s="1025" t="s">
        <v>618</v>
      </c>
      <c r="I114" s="1025" t="s">
        <v>27</v>
      </c>
      <c r="J114" s="1036">
        <v>92</v>
      </c>
      <c r="K114" s="1036">
        <v>92</v>
      </c>
      <c r="L114" s="1016" t="s">
        <v>637</v>
      </c>
      <c r="M114" s="1016" t="s">
        <v>639</v>
      </c>
      <c r="N114" s="1025" t="s">
        <v>661</v>
      </c>
      <c r="O114" s="1025" t="s">
        <v>669</v>
      </c>
      <c r="P114" s="155"/>
      <c r="Q114" s="155"/>
      <c r="R114" s="155"/>
      <c r="S114" s="345"/>
      <c r="T114" s="1138" t="s">
        <v>45</v>
      </c>
      <c r="U114" s="1138">
        <f>COUNTIF(D111:D130,"대")</f>
        <v>5</v>
      </c>
      <c r="V114" s="1139">
        <f>COUNTIF(I111:I130,"대")</f>
        <v>5</v>
      </c>
      <c r="W114" s="1138" t="s">
        <v>26</v>
      </c>
      <c r="X114" s="1138">
        <f>SUMIF(D111:D130,"대",F111:F130)</f>
        <v>947</v>
      </c>
      <c r="Y114" s="1139">
        <f>SUMIF(I111:I130,"대",K111:K130)</f>
        <v>947</v>
      </c>
      <c r="Z114" s="1138">
        <f>COUNTIF(AJ111:AJ130,"대국")+COUNTIF(AJ111:AJ130,"대공")</f>
        <v>0</v>
      </c>
      <c r="AA114" s="1139">
        <f>COUNTIF(AK111:AK130,"대국")+COUNTIF(AK111:AK130,"대공")</f>
        <v>5</v>
      </c>
      <c r="AB114" s="1138" t="s">
        <v>26</v>
      </c>
      <c r="AC114" s="1138">
        <f>SUMIF(AJ111:AJ130,"대국",F111:F130)+SUMIF(AJ111:AJ130,"대공",F111:F130)</f>
        <v>0</v>
      </c>
      <c r="AD114" s="1139">
        <f>SUMIF(AK111:AK130,"대국",K111:K130)+SUMIF(AK111:AK130,"대공",K111:K130)</f>
        <v>947</v>
      </c>
      <c r="AE114" s="1138">
        <f t="shared" si="22"/>
        <v>5</v>
      </c>
      <c r="AF114" s="1139">
        <f t="shared" si="22"/>
        <v>0</v>
      </c>
      <c r="AG114" s="1138" t="s">
        <v>26</v>
      </c>
      <c r="AH114" s="1138">
        <f t="shared" si="23"/>
        <v>947</v>
      </c>
      <c r="AI114" s="1139">
        <f t="shared" si="23"/>
        <v>0</v>
      </c>
      <c r="AJ114" s="1138" t="str">
        <f t="shared" si="24"/>
        <v>전김동필</v>
      </c>
      <c r="AK114" s="1138" t="str">
        <f t="shared" si="16"/>
        <v>전공</v>
      </c>
      <c r="AL114" s="66"/>
      <c r="AM114" s="66"/>
    </row>
    <row r="115" spans="1:39" s="67" customFormat="1" ht="24" customHeight="1" x14ac:dyDescent="0.15">
      <c r="A115" s="348">
        <v>105</v>
      </c>
      <c r="B115" s="222" t="s">
        <v>231</v>
      </c>
      <c r="C115" s="1016" t="s">
        <v>621</v>
      </c>
      <c r="D115" s="1016" t="s">
        <v>27</v>
      </c>
      <c r="E115" s="1033">
        <v>46</v>
      </c>
      <c r="F115" s="1033">
        <v>46</v>
      </c>
      <c r="G115" s="600"/>
      <c r="H115" s="1025" t="s">
        <v>621</v>
      </c>
      <c r="I115" s="1025" t="s">
        <v>27</v>
      </c>
      <c r="J115" s="1036">
        <v>46</v>
      </c>
      <c r="K115" s="1036">
        <v>46</v>
      </c>
      <c r="L115" s="1016" t="s">
        <v>637</v>
      </c>
      <c r="M115" s="1016" t="s">
        <v>639</v>
      </c>
      <c r="N115" s="1025" t="s">
        <v>661</v>
      </c>
      <c r="O115" s="1025" t="s">
        <v>669</v>
      </c>
      <c r="P115" s="203"/>
      <c r="Q115" s="203"/>
      <c r="R115" s="203"/>
      <c r="S115" s="345"/>
      <c r="T115" s="1138" t="s">
        <v>31</v>
      </c>
      <c r="U115" s="1138">
        <f>COUNTIF(D111:D130,"도")</f>
        <v>0</v>
      </c>
      <c r="V115" s="1139">
        <f>COUNTIF(I111:I130,"도")</f>
        <v>0</v>
      </c>
      <c r="W115" s="1138" t="s">
        <v>26</v>
      </c>
      <c r="X115" s="1138">
        <f>SUMIF(D111:D130,"도",F111:F130)</f>
        <v>0</v>
      </c>
      <c r="Y115" s="1139">
        <f>SUMIF(I111:I130,"도",K111:K130)</f>
        <v>0</v>
      </c>
      <c r="Z115" s="1138">
        <f>COUNTIF(AJ111:AJ130,"도국")+COUNTIF(AJ111:AJ130,"도공")</f>
        <v>0</v>
      </c>
      <c r="AA115" s="1139">
        <f>COUNTIF(AK111:AK130,"도국")+COUNTIF(AK111:AK130,"도공")</f>
        <v>0</v>
      </c>
      <c r="AB115" s="1138" t="s">
        <v>26</v>
      </c>
      <c r="AC115" s="1138">
        <f>SUMIF(AJ111:AJ130,"도국",F111:F130)+SUMIF(AJ111:AJ130,"도공",F111:F130)</f>
        <v>0</v>
      </c>
      <c r="AD115" s="1139">
        <f>SUMIF(AK111:AK130,"도국",K111:K130)+SUMIF(AK111:AK130,"도공",K111:K130)</f>
        <v>0</v>
      </c>
      <c r="AE115" s="1138">
        <f t="shared" si="22"/>
        <v>0</v>
      </c>
      <c r="AF115" s="1139">
        <f t="shared" si="22"/>
        <v>0</v>
      </c>
      <c r="AG115" s="1138" t="s">
        <v>26</v>
      </c>
      <c r="AH115" s="1138">
        <f t="shared" si="23"/>
        <v>0</v>
      </c>
      <c r="AI115" s="1139">
        <f t="shared" si="23"/>
        <v>0</v>
      </c>
      <c r="AJ115" s="1138" t="str">
        <f t="shared" si="24"/>
        <v>전김동필</v>
      </c>
      <c r="AK115" s="1138" t="str">
        <f t="shared" si="16"/>
        <v>전공</v>
      </c>
      <c r="AL115" s="66"/>
      <c r="AM115" s="66"/>
    </row>
    <row r="116" spans="1:39" s="67" customFormat="1" ht="24" customHeight="1" x14ac:dyDescent="0.15">
      <c r="A116" s="348">
        <v>106</v>
      </c>
      <c r="B116" s="222" t="s">
        <v>231</v>
      </c>
      <c r="C116" s="1016" t="s">
        <v>622</v>
      </c>
      <c r="D116" s="1016" t="s">
        <v>156</v>
      </c>
      <c r="E116" s="1033">
        <v>22</v>
      </c>
      <c r="F116" s="1033">
        <v>22</v>
      </c>
      <c r="G116" s="417"/>
      <c r="H116" s="1025" t="s">
        <v>622</v>
      </c>
      <c r="I116" s="1025" t="s">
        <v>156</v>
      </c>
      <c r="J116" s="1036">
        <v>22</v>
      </c>
      <c r="K116" s="1036">
        <v>22</v>
      </c>
      <c r="L116" s="1016" t="s">
        <v>640</v>
      </c>
      <c r="M116" s="1016" t="s">
        <v>641</v>
      </c>
      <c r="N116" s="1025" t="s">
        <v>660</v>
      </c>
      <c r="O116" s="1025" t="s">
        <v>669</v>
      </c>
      <c r="P116" s="203"/>
      <c r="Q116" s="203"/>
      <c r="R116" s="203"/>
      <c r="S116" s="342"/>
      <c r="T116" s="1138" t="s">
        <v>32</v>
      </c>
      <c r="U116" s="1140">
        <f>COUNTIF(D111:D130,"천")</f>
        <v>0</v>
      </c>
      <c r="V116" s="1141">
        <f>COUNTIF(I111:I130,"천")</f>
        <v>0</v>
      </c>
      <c r="W116" s="1138" t="s">
        <v>26</v>
      </c>
      <c r="X116" s="1138">
        <f>SUMIF(D111:D130,"천",F111:F130)</f>
        <v>0</v>
      </c>
      <c r="Y116" s="1139">
        <f>SUMIF(I111:I130,"천",K111:K130)</f>
        <v>0</v>
      </c>
      <c r="Z116" s="1138">
        <f>COUNTIF(AJ111:AJ130,"천국")+COUNTIF(AJ111:AJ130,"천공")</f>
        <v>0</v>
      </c>
      <c r="AA116" s="1139">
        <f>COUNTIF(AK111:AK130,"천국")+COUNTIF(AK111:AK130,"천공")</f>
        <v>0</v>
      </c>
      <c r="AB116" s="1138" t="s">
        <v>26</v>
      </c>
      <c r="AC116" s="1138">
        <f>SUMIF(AJ111:AJ130,"천국",F111:F130)+SUMIF(AJ111:AJ130,"천공",F111:F130)</f>
        <v>0</v>
      </c>
      <c r="AD116" s="1139">
        <f>SUMIF(AK111:AK130,"천국",K111:K130)+SUMIF(AK111:AK130,"천공",K111:K130)</f>
        <v>0</v>
      </c>
      <c r="AE116" s="1138">
        <f t="shared" si="22"/>
        <v>0</v>
      </c>
      <c r="AF116" s="1139">
        <f t="shared" si="22"/>
        <v>0</v>
      </c>
      <c r="AG116" s="1138" t="s">
        <v>26</v>
      </c>
      <c r="AH116" s="1138">
        <f t="shared" si="23"/>
        <v>0</v>
      </c>
      <c r="AI116" s="1139">
        <f t="shared" si="23"/>
        <v>0</v>
      </c>
      <c r="AJ116" s="1138" t="str">
        <f t="shared" si="24"/>
        <v>대김순자</v>
      </c>
      <c r="AK116" s="1138" t="str">
        <f t="shared" si="16"/>
        <v>대공</v>
      </c>
      <c r="AL116" s="66"/>
      <c r="AM116" s="66"/>
    </row>
    <row r="117" spans="1:39" s="67" customFormat="1" ht="24" customHeight="1" x14ac:dyDescent="0.15">
      <c r="A117" s="348">
        <v>107</v>
      </c>
      <c r="B117" s="222" t="s">
        <v>231</v>
      </c>
      <c r="C117" s="1016" t="s">
        <v>623</v>
      </c>
      <c r="D117" s="1016" t="s">
        <v>156</v>
      </c>
      <c r="E117" s="1033">
        <v>42</v>
      </c>
      <c r="F117" s="1033">
        <v>42</v>
      </c>
      <c r="G117" s="417"/>
      <c r="H117" s="1025" t="s">
        <v>623</v>
      </c>
      <c r="I117" s="1025" t="s">
        <v>156</v>
      </c>
      <c r="J117" s="1036">
        <v>42</v>
      </c>
      <c r="K117" s="1036">
        <v>42</v>
      </c>
      <c r="L117" s="1037" t="s">
        <v>609</v>
      </c>
      <c r="M117" s="1016" t="s">
        <v>610</v>
      </c>
      <c r="N117" s="1025" t="s">
        <v>660</v>
      </c>
      <c r="O117" s="1025" t="s">
        <v>669</v>
      </c>
      <c r="P117" s="370"/>
      <c r="Q117" s="370"/>
      <c r="R117" s="370"/>
      <c r="S117" s="342"/>
      <c r="T117" s="1138" t="s">
        <v>33</v>
      </c>
      <c r="U117" s="1138">
        <f>COUNTIF(D111:D130,"구")</f>
        <v>0</v>
      </c>
      <c r="V117" s="1139">
        <f>COUNTIF(I111:I130,"구")</f>
        <v>0</v>
      </c>
      <c r="W117" s="1138" t="s">
        <v>26</v>
      </c>
      <c r="X117" s="1138">
        <f>SUMIF(D111:D130,"구",F111:F130)</f>
        <v>0</v>
      </c>
      <c r="Y117" s="1139">
        <f>SUMIF(I111:I130,"구",K111:K130)</f>
        <v>0</v>
      </c>
      <c r="Z117" s="1138">
        <f>COUNTIF(AJ111:AJ130,"구국")+COUNTIF(AJ111:AJ130,"구공")</f>
        <v>0</v>
      </c>
      <c r="AA117" s="1139">
        <f>COUNTIF(AK111:AK130,"구국")+COUNTIF(AK111:AK130,"구공")</f>
        <v>0</v>
      </c>
      <c r="AB117" s="1138" t="s">
        <v>26</v>
      </c>
      <c r="AC117" s="1138">
        <f>SUMIF(AJ111:AJ130,"구국",F111:F130)+SUMIF(AJ111:AJ130,"구공",F111:F130)</f>
        <v>0</v>
      </c>
      <c r="AD117" s="1139">
        <f>SUMIF(AK111:AK130,"구국",K111:K130)+SUMIF(AK111:AK130,"구공",K111:K130)</f>
        <v>0</v>
      </c>
      <c r="AE117" s="1138">
        <f t="shared" si="22"/>
        <v>0</v>
      </c>
      <c r="AF117" s="1139">
        <f t="shared" si="22"/>
        <v>0</v>
      </c>
      <c r="AG117" s="1138" t="s">
        <v>26</v>
      </c>
      <c r="AH117" s="1138">
        <f t="shared" si="23"/>
        <v>0</v>
      </c>
      <c r="AI117" s="1139">
        <f t="shared" si="23"/>
        <v>0</v>
      </c>
      <c r="AJ117" s="1138" t="str">
        <f t="shared" si="24"/>
        <v>대서홍천농업 협동조합</v>
      </c>
      <c r="AK117" s="1138" t="str">
        <f t="shared" si="16"/>
        <v>대공</v>
      </c>
      <c r="AL117" s="66"/>
      <c r="AM117" s="66"/>
    </row>
    <row r="118" spans="1:39" s="67" customFormat="1" ht="24" customHeight="1" x14ac:dyDescent="0.15">
      <c r="A118" s="348">
        <v>108</v>
      </c>
      <c r="B118" s="222" t="s">
        <v>231</v>
      </c>
      <c r="C118" s="1016" t="s">
        <v>624</v>
      </c>
      <c r="D118" s="1016" t="s">
        <v>156</v>
      </c>
      <c r="E118" s="1033">
        <v>84</v>
      </c>
      <c r="F118" s="1033">
        <v>84</v>
      </c>
      <c r="G118" s="417"/>
      <c r="H118" s="1025" t="s">
        <v>624</v>
      </c>
      <c r="I118" s="1025" t="s">
        <v>156</v>
      </c>
      <c r="J118" s="1036">
        <v>84</v>
      </c>
      <c r="K118" s="1036">
        <v>84</v>
      </c>
      <c r="L118" s="1016" t="s">
        <v>642</v>
      </c>
      <c r="M118" s="1016" t="s">
        <v>643</v>
      </c>
      <c r="N118" s="1025" t="s">
        <v>661</v>
      </c>
      <c r="O118" s="1025" t="s">
        <v>669</v>
      </c>
      <c r="P118" s="370"/>
      <c r="Q118" s="370"/>
      <c r="R118" s="370"/>
      <c r="S118" s="342"/>
      <c r="T118" s="1138" t="s">
        <v>34</v>
      </c>
      <c r="U118" s="1138">
        <f>COUNTIF(D111:D130,"제")</f>
        <v>0</v>
      </c>
      <c r="V118" s="1139">
        <f>COUNTIF(I111:I130,"제")</f>
        <v>0</v>
      </c>
      <c r="W118" s="1138" t="s">
        <v>26</v>
      </c>
      <c r="X118" s="1138">
        <f>SUMIF(D111:D130,"제",F111:F130)</f>
        <v>0</v>
      </c>
      <c r="Y118" s="1139">
        <f>SUMIF(I111:I130,"제",K111:K130)</f>
        <v>0</v>
      </c>
      <c r="Z118" s="1138">
        <f>COUNTIF(AJ111:AJ130,"제국")+COUNTIF(AJ111:AJ130,"제공")</f>
        <v>0</v>
      </c>
      <c r="AA118" s="1139">
        <f>COUNTIF(AK111:AK130,"제국")+COUNTIF(AK111:AK130,"제공")</f>
        <v>0</v>
      </c>
      <c r="AB118" s="1138" t="s">
        <v>26</v>
      </c>
      <c r="AC118" s="1138">
        <f>SUMIF(AJ111:AJ130,"제국",F111:F130)+SUMIF(AJ111:AJ130,"제공",F111:F130)</f>
        <v>0</v>
      </c>
      <c r="AD118" s="1139">
        <f>SUMIF(AK111:AK130,"제국",K111:K130)+SUMIF(AK111:AK130,"제공",K111:K130)</f>
        <v>0</v>
      </c>
      <c r="AE118" s="1138">
        <f t="shared" si="22"/>
        <v>0</v>
      </c>
      <c r="AF118" s="1139">
        <f t="shared" si="22"/>
        <v>0</v>
      </c>
      <c r="AG118" s="1138" t="s">
        <v>26</v>
      </c>
      <c r="AH118" s="1138">
        <f t="shared" si="23"/>
        <v>0</v>
      </c>
      <c r="AI118" s="1139">
        <f t="shared" si="23"/>
        <v>0</v>
      </c>
      <c r="AJ118" s="1138" t="str">
        <f t="shared" si="24"/>
        <v>대이병억</v>
      </c>
      <c r="AK118" s="1138" t="str">
        <f t="shared" si="16"/>
        <v>대공</v>
      </c>
      <c r="AL118" s="66"/>
      <c r="AM118" s="66"/>
    </row>
    <row r="119" spans="1:39" s="67" customFormat="1" ht="24" customHeight="1" x14ac:dyDescent="0.15">
      <c r="A119" s="348">
        <v>109</v>
      </c>
      <c r="B119" s="222" t="s">
        <v>231</v>
      </c>
      <c r="C119" s="1016" t="s">
        <v>625</v>
      </c>
      <c r="D119" s="1016" t="s">
        <v>28</v>
      </c>
      <c r="E119" s="1033">
        <v>21</v>
      </c>
      <c r="F119" s="1033">
        <v>21</v>
      </c>
      <c r="G119" s="417"/>
      <c r="H119" s="1025" t="s">
        <v>625</v>
      </c>
      <c r="I119" s="1025" t="s">
        <v>28</v>
      </c>
      <c r="J119" s="1036">
        <v>21</v>
      </c>
      <c r="K119" s="1036">
        <v>21</v>
      </c>
      <c r="L119" s="1016" t="s">
        <v>642</v>
      </c>
      <c r="M119" s="1016" t="s">
        <v>643</v>
      </c>
      <c r="N119" s="1025" t="s">
        <v>660</v>
      </c>
      <c r="O119" s="1025" t="s">
        <v>669</v>
      </c>
      <c r="P119" s="207"/>
      <c r="Q119" s="207"/>
      <c r="R119" s="207"/>
      <c r="S119" s="342"/>
      <c r="T119" s="1138" t="s">
        <v>46</v>
      </c>
      <c r="U119" s="1138">
        <f>COUNTIF(D111:D130,"유")</f>
        <v>0</v>
      </c>
      <c r="V119" s="1139">
        <f>COUNTIF(I111:I130,"유")</f>
        <v>0</v>
      </c>
      <c r="W119" s="1138" t="s">
        <v>26</v>
      </c>
      <c r="X119" s="1138">
        <f>SUMIF(D111:D130,"유",F111:F130)</f>
        <v>0</v>
      </c>
      <c r="Y119" s="1139">
        <f>SUMIF(I111:I130,"유",K111:K130)</f>
        <v>0</v>
      </c>
      <c r="Z119" s="1138">
        <f>COUNTIF(AJ111:AJ130,"유국")+COUNTIF(AJ111:AJ130,"유공")</f>
        <v>0</v>
      </c>
      <c r="AA119" s="1139">
        <f>COUNTIF(AK111:AK130,"유국")+COUNTIF(AK111:AK130,"유공")</f>
        <v>0</v>
      </c>
      <c r="AB119" s="1138" t="s">
        <v>26</v>
      </c>
      <c r="AC119" s="1138">
        <f>SUMIF(AJ111:AJ130,"유국",F111:F130)+SUMIF(AJ111:AJ130,"유공",F111:F130)</f>
        <v>0</v>
      </c>
      <c r="AD119" s="1139">
        <f>SUMIF(AK111:AK130,"유국",K111:K130)+SUMIF(AK111:AK130,"유공",K111:K130)</f>
        <v>0</v>
      </c>
      <c r="AE119" s="1138">
        <f t="shared" si="22"/>
        <v>0</v>
      </c>
      <c r="AF119" s="1139">
        <f t="shared" si="22"/>
        <v>0</v>
      </c>
      <c r="AG119" s="1138" t="s">
        <v>26</v>
      </c>
      <c r="AH119" s="1138">
        <f t="shared" si="23"/>
        <v>0</v>
      </c>
      <c r="AI119" s="1139">
        <f t="shared" si="23"/>
        <v>0</v>
      </c>
      <c r="AJ119" s="1138" t="str">
        <f t="shared" si="24"/>
        <v>답이병억</v>
      </c>
      <c r="AK119" s="1138" t="str">
        <f t="shared" si="16"/>
        <v>답공</v>
      </c>
      <c r="AL119" s="66"/>
      <c r="AM119" s="66"/>
    </row>
    <row r="120" spans="1:39" s="67" customFormat="1" ht="24" customHeight="1" x14ac:dyDescent="0.15">
      <c r="A120" s="348">
        <v>110</v>
      </c>
      <c r="B120" s="222" t="s">
        <v>231</v>
      </c>
      <c r="C120" s="1016" t="s">
        <v>626</v>
      </c>
      <c r="D120" s="1016" t="s">
        <v>28</v>
      </c>
      <c r="E120" s="1033">
        <v>125</v>
      </c>
      <c r="F120" s="1033">
        <v>125</v>
      </c>
      <c r="G120" s="417"/>
      <c r="H120" s="1025" t="s">
        <v>626</v>
      </c>
      <c r="I120" s="1025" t="s">
        <v>28</v>
      </c>
      <c r="J120" s="1036">
        <v>125</v>
      </c>
      <c r="K120" s="1036">
        <v>125</v>
      </c>
      <c r="L120" s="1016" t="s">
        <v>632</v>
      </c>
      <c r="M120" s="1016" t="s">
        <v>633</v>
      </c>
      <c r="N120" s="1025" t="s">
        <v>660</v>
      </c>
      <c r="O120" s="1025" t="s">
        <v>670</v>
      </c>
      <c r="P120" s="203"/>
      <c r="Q120" s="203"/>
      <c r="R120" s="203"/>
      <c r="S120" s="342"/>
      <c r="T120" s="1138" t="s">
        <v>47</v>
      </c>
      <c r="U120" s="1138">
        <f>COUNTIF(D111:D130,"과")</f>
        <v>0</v>
      </c>
      <c r="V120" s="1139">
        <f>COUNTIF(I111:I130,"과")</f>
        <v>0</v>
      </c>
      <c r="W120" s="1138" t="s">
        <v>26</v>
      </c>
      <c r="X120" s="1138">
        <f>SUMIF(D111:D130,"과",F111:F130)</f>
        <v>0</v>
      </c>
      <c r="Y120" s="1139">
        <f>SUMIF(I111:I130,"과",K111:K130)</f>
        <v>0</v>
      </c>
      <c r="Z120" s="1138">
        <f>COUNTIF(AJ111:AJ130,"과국")+COUNTIF(AJ111:AJ130,"과공")</f>
        <v>0</v>
      </c>
      <c r="AA120" s="1139">
        <f>COUNTIF(AK111:AK130,"과국")+COUNTIF(AK111:AK130,"과공")</f>
        <v>0</v>
      </c>
      <c r="AB120" s="1138" t="s">
        <v>26</v>
      </c>
      <c r="AC120" s="1138">
        <f>SUMIF(AJ111:AJ130,"과국",F111:F130)+SUMIF(AJ111:AJ130,"과공",F111:F130)</f>
        <v>0</v>
      </c>
      <c r="AD120" s="1139">
        <f>SUMIF(AK111:AK130,"과국",K111:K130)+SUMIF(AK111:AK130,"과공",K111:K130)</f>
        <v>0</v>
      </c>
      <c r="AE120" s="1138">
        <f t="shared" si="22"/>
        <v>0</v>
      </c>
      <c r="AF120" s="1139">
        <f t="shared" si="22"/>
        <v>0</v>
      </c>
      <c r="AG120" s="1138" t="s">
        <v>26</v>
      </c>
      <c r="AH120" s="1138">
        <f t="shared" si="23"/>
        <v>0</v>
      </c>
      <c r="AI120" s="1139">
        <f t="shared" si="23"/>
        <v>0</v>
      </c>
      <c r="AJ120" s="1138" t="str">
        <f t="shared" si="24"/>
        <v>답이효순</v>
      </c>
      <c r="AK120" s="1138" t="str">
        <f t="shared" si="16"/>
        <v>답공</v>
      </c>
      <c r="AL120" s="66"/>
      <c r="AM120" s="66"/>
    </row>
    <row r="121" spans="1:39" s="67" customFormat="1" ht="24" customHeight="1" x14ac:dyDescent="0.15">
      <c r="A121" s="348">
        <v>111</v>
      </c>
      <c r="B121" s="222" t="s">
        <v>231</v>
      </c>
      <c r="C121" s="1016" t="s">
        <v>627</v>
      </c>
      <c r="D121" s="1016" t="s">
        <v>27</v>
      </c>
      <c r="E121" s="1033">
        <v>198</v>
      </c>
      <c r="F121" s="1033">
        <v>198</v>
      </c>
      <c r="G121" s="505"/>
      <c r="H121" s="1025" t="s">
        <v>627</v>
      </c>
      <c r="I121" s="1025" t="s">
        <v>27</v>
      </c>
      <c r="J121" s="1036">
        <v>198</v>
      </c>
      <c r="K121" s="1036">
        <v>198</v>
      </c>
      <c r="L121" s="1016" t="s">
        <v>632</v>
      </c>
      <c r="M121" s="1016" t="s">
        <v>633</v>
      </c>
      <c r="N121" s="1025" t="s">
        <v>660</v>
      </c>
      <c r="O121" s="1025" t="s">
        <v>669</v>
      </c>
      <c r="P121" s="203"/>
      <c r="Q121" s="203"/>
      <c r="R121" s="203"/>
      <c r="S121" s="342"/>
      <c r="T121" s="1138" t="s">
        <v>36</v>
      </c>
      <c r="U121" s="1138">
        <f>COUNTIF(D111:D130,"묘")</f>
        <v>0</v>
      </c>
      <c r="V121" s="1139">
        <f>COUNTIF(I111:I130,"묘")</f>
        <v>0</v>
      </c>
      <c r="W121" s="1138" t="s">
        <v>26</v>
      </c>
      <c r="X121" s="1138">
        <f>SUMIF(D111:D130,"묘",F111:F130)</f>
        <v>0</v>
      </c>
      <c r="Y121" s="1139">
        <f>SUMIF(I111:I130,"묘",K111:K130)</f>
        <v>0</v>
      </c>
      <c r="Z121" s="1138">
        <f>COUNTIF(AJ111:AJ130,"묘국")+COUNTIF(AJ111:AJ130,"묘공")</f>
        <v>0</v>
      </c>
      <c r="AA121" s="1139">
        <f>COUNTIF(AK111:AK130,"묘국")+COUNTIF(AK111:AK130,"묘공")</f>
        <v>0</v>
      </c>
      <c r="AB121" s="1138" t="s">
        <v>26</v>
      </c>
      <c r="AC121" s="1138">
        <f>SUMIF(AJ111:AJ130,"묘국",F111:F130)+SUMIF(AJ111:AJ130,"묘공",F111:F130)</f>
        <v>0</v>
      </c>
      <c r="AD121" s="1139">
        <f>SUMIF(AK111:AK130,"묘국",K111:K130)+SUMIF(AK111:AK130,"묘공",K111:K130)</f>
        <v>0</v>
      </c>
      <c r="AE121" s="1138">
        <f t="shared" si="22"/>
        <v>0</v>
      </c>
      <c r="AF121" s="1139">
        <f t="shared" si="22"/>
        <v>0</v>
      </c>
      <c r="AG121" s="1138" t="s">
        <v>26</v>
      </c>
      <c r="AH121" s="1138">
        <f t="shared" si="23"/>
        <v>0</v>
      </c>
      <c r="AI121" s="1139">
        <f t="shared" si="23"/>
        <v>0</v>
      </c>
      <c r="AJ121" s="1138" t="str">
        <f t="shared" si="24"/>
        <v>전이효순</v>
      </c>
      <c r="AK121" s="1138" t="str">
        <f t="shared" si="16"/>
        <v>전공</v>
      </c>
      <c r="AL121" s="66"/>
      <c r="AM121" s="66"/>
    </row>
    <row r="122" spans="1:39" s="67" customFormat="1" ht="24" customHeight="1" x14ac:dyDescent="0.15">
      <c r="A122" s="348">
        <v>112</v>
      </c>
      <c r="B122" s="222" t="s">
        <v>231</v>
      </c>
      <c r="C122" s="1016" t="s">
        <v>629</v>
      </c>
      <c r="D122" s="1016" t="s">
        <v>28</v>
      </c>
      <c r="E122" s="1033">
        <v>20</v>
      </c>
      <c r="F122" s="1033">
        <v>20</v>
      </c>
      <c r="G122" s="417"/>
      <c r="H122" s="1025" t="s">
        <v>629</v>
      </c>
      <c r="I122" s="1025" t="s">
        <v>28</v>
      </c>
      <c r="J122" s="1036">
        <v>20</v>
      </c>
      <c r="K122" s="1036">
        <v>20</v>
      </c>
      <c r="L122" s="1016" t="s">
        <v>632</v>
      </c>
      <c r="M122" s="1016" t="s">
        <v>633</v>
      </c>
      <c r="N122" s="1025" t="s">
        <v>660</v>
      </c>
      <c r="O122" s="1025" t="s">
        <v>669</v>
      </c>
      <c r="P122" s="102"/>
      <c r="Q122" s="102"/>
      <c r="R122" s="102"/>
      <c r="S122" s="342"/>
      <c r="T122" s="1138" t="s">
        <v>39</v>
      </c>
      <c r="U122" s="1138">
        <f>COUNTIF(D111:D130,"수")</f>
        <v>0</v>
      </c>
      <c r="V122" s="1139">
        <f>COUNTIF(I111:I130,"수")</f>
        <v>0</v>
      </c>
      <c r="W122" s="1138" t="s">
        <v>26</v>
      </c>
      <c r="X122" s="1138">
        <f>SUMIF(D111:D130,"수",F111:F130)</f>
        <v>0</v>
      </c>
      <c r="Y122" s="1139">
        <f>SUMIF(I111:I130,"수",K111:K130)</f>
        <v>0</v>
      </c>
      <c r="Z122" s="1138">
        <f>COUNTIF(AJ111:AJ130,"수국")+COUNTIF(AJ111:AJ130,"수공")</f>
        <v>0</v>
      </c>
      <c r="AA122" s="1139">
        <f>COUNTIF(AK111:AK130,"수국")+COUNTIF(AK111:AK130,"수공")</f>
        <v>0</v>
      </c>
      <c r="AB122" s="1138" t="s">
        <v>26</v>
      </c>
      <c r="AC122" s="1138">
        <f>SUMIF(AJ111:AJ130,"수국",F111:F130)+SUMIF(AJ111:AJ130,"수공",F111:F130)</f>
        <v>0</v>
      </c>
      <c r="AD122" s="1139">
        <f>SUMIF(AK111:AK130,"수국",K111:K130)+SUMIF(AK111:AK130,"수공",K111:K130)</f>
        <v>0</v>
      </c>
      <c r="AE122" s="1138">
        <f t="shared" si="22"/>
        <v>0</v>
      </c>
      <c r="AF122" s="1139">
        <f t="shared" si="22"/>
        <v>0</v>
      </c>
      <c r="AG122" s="1138" t="s">
        <v>26</v>
      </c>
      <c r="AH122" s="1138">
        <f t="shared" si="23"/>
        <v>0</v>
      </c>
      <c r="AI122" s="1139">
        <f t="shared" si="23"/>
        <v>0</v>
      </c>
      <c r="AJ122" s="1138" t="str">
        <f t="shared" si="24"/>
        <v>답이효순</v>
      </c>
      <c r="AK122" s="1138" t="str">
        <f t="shared" si="16"/>
        <v>답공</v>
      </c>
      <c r="AL122" s="66"/>
      <c r="AM122" s="66"/>
    </row>
    <row r="123" spans="1:39" s="67" customFormat="1" ht="24" customHeight="1" x14ac:dyDescent="0.15">
      <c r="A123" s="348">
        <v>113</v>
      </c>
      <c r="B123" s="222" t="s">
        <v>231</v>
      </c>
      <c r="C123" s="1240" t="s">
        <v>631</v>
      </c>
      <c r="D123" s="1241" t="s">
        <v>156</v>
      </c>
      <c r="E123" s="1242">
        <v>567</v>
      </c>
      <c r="F123" s="1242">
        <v>567</v>
      </c>
      <c r="G123" s="417"/>
      <c r="H123" s="1243" t="s">
        <v>631</v>
      </c>
      <c r="I123" s="1243" t="s">
        <v>156</v>
      </c>
      <c r="J123" s="1244">
        <v>567</v>
      </c>
      <c r="K123" s="1244">
        <v>567</v>
      </c>
      <c r="L123" s="1016" t="s">
        <v>632</v>
      </c>
      <c r="M123" s="1016" t="s">
        <v>633</v>
      </c>
      <c r="N123" s="1025" t="s">
        <v>660</v>
      </c>
      <c r="O123" s="1025" t="s">
        <v>669</v>
      </c>
      <c r="P123" s="102"/>
      <c r="Q123" s="102"/>
      <c r="R123" s="102"/>
      <c r="S123" s="342"/>
      <c r="T123" s="1138" t="s">
        <v>35</v>
      </c>
      <c r="U123" s="1138">
        <f>COUNTIF(D111:D130,"잡")</f>
        <v>0</v>
      </c>
      <c r="V123" s="1139">
        <f>COUNTIF(I111:I130,"잡")</f>
        <v>0</v>
      </c>
      <c r="W123" s="1138" t="s">
        <v>26</v>
      </c>
      <c r="X123" s="1138">
        <f>SUMIF(D111:D130,"잡",F111:F130)</f>
        <v>0</v>
      </c>
      <c r="Y123" s="1139">
        <f>SUMIF(I111:I130,"잡",K111:K130)</f>
        <v>0</v>
      </c>
      <c r="Z123" s="1138">
        <f>COUNTIF(AJ111:AJ130,"잡국")+COUNTIF(AJ111:AJ130,"잡공")</f>
        <v>0</v>
      </c>
      <c r="AA123" s="1139">
        <f>COUNTIF(AK111:AK130,"잡국")+COUNTIF(AK111:AK130,"잡공")</f>
        <v>0</v>
      </c>
      <c r="AB123" s="1138" t="s">
        <v>26</v>
      </c>
      <c r="AC123" s="1138">
        <f>SUMIF(AJ111:AJ130,"잡국",F111:F130)+SUMIF(AJ111:AJ130,"잡공",F111:F130)</f>
        <v>0</v>
      </c>
      <c r="AD123" s="1139">
        <f>SUMIF(AK111:AK130,"잡국",K111:K130)+SUMIF(AK111:AK130,"잡공",K111:K130)</f>
        <v>0</v>
      </c>
      <c r="AE123" s="1138">
        <f t="shared" si="22"/>
        <v>0</v>
      </c>
      <c r="AF123" s="1139">
        <f t="shared" si="22"/>
        <v>0</v>
      </c>
      <c r="AG123" s="1138" t="s">
        <v>26</v>
      </c>
      <c r="AH123" s="1138">
        <f t="shared" si="23"/>
        <v>0</v>
      </c>
      <c r="AI123" s="1139">
        <f t="shared" si="23"/>
        <v>0</v>
      </c>
      <c r="AJ123" s="1138" t="str">
        <f t="shared" si="24"/>
        <v>대이효순</v>
      </c>
      <c r="AK123" s="1138" t="str">
        <f t="shared" si="16"/>
        <v>대공</v>
      </c>
      <c r="AL123" s="66"/>
      <c r="AM123" s="66"/>
    </row>
    <row r="124" spans="1:39" s="67" customFormat="1" ht="24" customHeight="1" x14ac:dyDescent="0.15">
      <c r="A124" s="348">
        <v>114</v>
      </c>
      <c r="B124" s="222" t="s">
        <v>231</v>
      </c>
      <c r="C124" s="614" t="s">
        <v>645</v>
      </c>
      <c r="D124" s="611" t="s">
        <v>649</v>
      </c>
      <c r="E124" s="192">
        <v>147</v>
      </c>
      <c r="F124" s="602">
        <v>147</v>
      </c>
      <c r="G124" s="600"/>
      <c r="H124" s="1236" t="s">
        <v>645</v>
      </c>
      <c r="I124" s="1237" t="s">
        <v>649</v>
      </c>
      <c r="J124" s="1238">
        <v>147</v>
      </c>
      <c r="K124" s="1239">
        <v>147</v>
      </c>
      <c r="L124" s="1016" t="s">
        <v>632</v>
      </c>
      <c r="M124" s="1016" t="s">
        <v>633</v>
      </c>
      <c r="N124" s="1025" t="s">
        <v>660</v>
      </c>
      <c r="O124" s="1025" t="s">
        <v>670</v>
      </c>
      <c r="P124" s="203"/>
      <c r="Q124" s="203"/>
      <c r="R124" s="203"/>
      <c r="S124" s="342"/>
      <c r="T124" s="1138" t="s">
        <v>220</v>
      </c>
      <c r="U124" s="1138">
        <f>COUNTIF(D111:D130,"창")</f>
        <v>0</v>
      </c>
      <c r="V124" s="1139">
        <f>COUNTIF(I111:I130,"창")</f>
        <v>0</v>
      </c>
      <c r="W124" s="1138" t="s">
        <v>26</v>
      </c>
      <c r="X124" s="1138">
        <f>SUMIF(D111:D130,"창",F111:F130)</f>
        <v>0</v>
      </c>
      <c r="Y124" s="1139">
        <f>SUMIF(I111:I130,"창",K111:K130)</f>
        <v>0</v>
      </c>
      <c r="Z124" s="1138">
        <f>COUNTIF(AJ111:AJ130,"종국")+COUNTIF(AJ111:AJ130,"종공")</f>
        <v>0</v>
      </c>
      <c r="AA124" s="1139">
        <f>COUNTIF(AK111:AK130,"종국")+COUNTIF(AK111:AK130,"종공")</f>
        <v>0</v>
      </c>
      <c r="AB124" s="1138" t="s">
        <v>26</v>
      </c>
      <c r="AC124" s="1138">
        <f>SUMIF(AJ111:AJ130,"종국",F111:F130)+SUMIF(AJ111:AJ130,"종공",F111:F130)</f>
        <v>0</v>
      </c>
      <c r="AD124" s="1139">
        <f>SUMIF(AK111:AK130,"종국",K111:K130)+SUMIF(AK111:AK130,"종공",K111:K130)</f>
        <v>0</v>
      </c>
      <c r="AE124" s="1138">
        <f t="shared" si="22"/>
        <v>0</v>
      </c>
      <c r="AF124" s="1139">
        <f t="shared" si="22"/>
        <v>0</v>
      </c>
      <c r="AG124" s="1138" t="s">
        <v>26</v>
      </c>
      <c r="AH124" s="1138">
        <f t="shared" si="23"/>
        <v>0</v>
      </c>
      <c r="AI124" s="1139">
        <f t="shared" si="23"/>
        <v>0</v>
      </c>
      <c r="AJ124" s="1138" t="str">
        <f t="shared" si="24"/>
        <v>전이효순</v>
      </c>
      <c r="AK124" s="1138" t="str">
        <f t="shared" si="16"/>
        <v>전공</v>
      </c>
      <c r="AL124" s="66"/>
      <c r="AM124" s="66"/>
    </row>
    <row r="125" spans="1:39" s="67" customFormat="1" ht="24" customHeight="1" x14ac:dyDescent="0.15">
      <c r="A125" s="348">
        <v>115</v>
      </c>
      <c r="B125" s="222" t="s">
        <v>231</v>
      </c>
      <c r="C125" s="133" t="s">
        <v>646</v>
      </c>
      <c r="D125" s="133" t="s">
        <v>650</v>
      </c>
      <c r="E125" s="134">
        <v>232</v>
      </c>
      <c r="F125" s="135">
        <v>232</v>
      </c>
      <c r="G125" s="417"/>
      <c r="H125" s="233" t="s">
        <v>646</v>
      </c>
      <c r="I125" s="233" t="s">
        <v>650</v>
      </c>
      <c r="J125" s="266">
        <v>232</v>
      </c>
      <c r="K125" s="227">
        <v>232</v>
      </c>
      <c r="L125" s="128" t="s">
        <v>652</v>
      </c>
      <c r="M125" s="128" t="s">
        <v>655</v>
      </c>
      <c r="N125" s="1025" t="s">
        <v>660</v>
      </c>
      <c r="O125" s="425" t="s">
        <v>670</v>
      </c>
      <c r="P125" s="102"/>
      <c r="Q125" s="102"/>
      <c r="R125" s="102"/>
      <c r="S125" s="342"/>
      <c r="T125" s="1138" t="s">
        <v>50</v>
      </c>
      <c r="U125" s="1138">
        <f>COUNTIF(D111:D130,"공")</f>
        <v>0</v>
      </c>
      <c r="V125" s="1139">
        <f>COUNTIF(I111:I130,"공")</f>
        <v>0</v>
      </c>
      <c r="W125" s="1138" t="s">
        <v>26</v>
      </c>
      <c r="X125" s="1138">
        <f>SUMIF(D111:D130,"공",F111:F130)</f>
        <v>0</v>
      </c>
      <c r="Y125" s="1139">
        <f>SUMIF(I111:I130,"공",K111:K130)</f>
        <v>0</v>
      </c>
      <c r="Z125" s="1138">
        <f>COUNTIF(AJ111:AJ130,"공국")+COUNTIF(AJ111:AJ130,"공공")</f>
        <v>0</v>
      </c>
      <c r="AA125" s="1139">
        <f>COUNTIF(AK111:AK130,"공국")+COUNTIF(AK111:AK130,"공공")</f>
        <v>0</v>
      </c>
      <c r="AB125" s="1138" t="s">
        <v>26</v>
      </c>
      <c r="AC125" s="1138">
        <f>SUMIF(AJ111:AJ130,"공국",F111:F130)+SUMIF(AJ111:AJ130,"공공",F111:F130)</f>
        <v>0</v>
      </c>
      <c r="AD125" s="1139">
        <f>SUMIF(AK111:AK130,"공국",K111:K130)+SUMIF(AK111:AK130,"공공",K111:K130)</f>
        <v>0</v>
      </c>
      <c r="AE125" s="1138">
        <f t="shared" si="22"/>
        <v>0</v>
      </c>
      <c r="AF125" s="1139">
        <f t="shared" si="22"/>
        <v>0</v>
      </c>
      <c r="AG125" s="1138" t="s">
        <v>26</v>
      </c>
      <c r="AH125" s="1138">
        <f t="shared" si="23"/>
        <v>0</v>
      </c>
      <c r="AI125" s="1139">
        <f t="shared" si="23"/>
        <v>0</v>
      </c>
      <c r="AJ125" s="1138" t="str">
        <f t="shared" si="24"/>
        <v>대이규화</v>
      </c>
      <c r="AK125" s="1138" t="str">
        <f t="shared" si="16"/>
        <v>대공</v>
      </c>
      <c r="AL125" s="66"/>
      <c r="AM125" s="66"/>
    </row>
    <row r="126" spans="1:39" s="67" customFormat="1" ht="24" customHeight="1" x14ac:dyDescent="0.15">
      <c r="A126" s="348">
        <v>116</v>
      </c>
      <c r="B126" s="222" t="s">
        <v>231</v>
      </c>
      <c r="C126" s="133" t="s">
        <v>647</v>
      </c>
      <c r="D126" s="133" t="s">
        <v>649</v>
      </c>
      <c r="E126" s="134">
        <v>746</v>
      </c>
      <c r="F126" s="135">
        <v>709</v>
      </c>
      <c r="G126" s="417"/>
      <c r="H126" s="233" t="s">
        <v>647</v>
      </c>
      <c r="I126" s="233" t="s">
        <v>649</v>
      </c>
      <c r="J126" s="266">
        <v>746</v>
      </c>
      <c r="K126" s="227">
        <v>709</v>
      </c>
      <c r="L126" s="128" t="s">
        <v>653</v>
      </c>
      <c r="M126" s="128" t="s">
        <v>656</v>
      </c>
      <c r="N126" s="1025" t="s">
        <v>660</v>
      </c>
      <c r="O126" s="425" t="s">
        <v>669</v>
      </c>
      <c r="P126" s="203"/>
      <c r="Q126" s="203"/>
      <c r="R126" s="203"/>
      <c r="S126" s="342"/>
      <c r="T126" s="1142" t="s">
        <v>219</v>
      </c>
      <c r="U126" s="1138">
        <f>COUNTIF(D111:D130,"주")</f>
        <v>0</v>
      </c>
      <c r="V126" s="1139">
        <f>COUNTIF(I111:I130,"주")</f>
        <v>0</v>
      </c>
      <c r="W126" s="1138" t="s">
        <v>26</v>
      </c>
      <c r="X126" s="1138">
        <f>SUMIF(D111:D130,"주",F111:F130)</f>
        <v>0</v>
      </c>
      <c r="Y126" s="1139">
        <f>SUMIF(I111:I130,"주",K111:K130)</f>
        <v>0</v>
      </c>
      <c r="Z126" s="1138">
        <f>COUNTIF(AJ111:AJ130,"주국")+COUNTIF(AJ111:AJ130,"주공")</f>
        <v>0</v>
      </c>
      <c r="AA126" s="1139">
        <f>COUNTIF(AK111:AK130,"주국")+COUNTIF(AK111:AK130,"주공")</f>
        <v>0</v>
      </c>
      <c r="AB126" s="1138" t="s">
        <v>26</v>
      </c>
      <c r="AC126" s="1138">
        <f>SUMIF(AJ111:AJ130,"주국",F111:F130)+SUMIF(AJ111:AJ130,"주공",F111:F130)</f>
        <v>0</v>
      </c>
      <c r="AD126" s="1139">
        <f>SUMIF(AK111:AK130,"주국",K111:K130)+SUMIF(AK111:AK130,"주공",K111:K130)</f>
        <v>0</v>
      </c>
      <c r="AE126" s="1138">
        <f t="shared" si="22"/>
        <v>0</v>
      </c>
      <c r="AF126" s="1139">
        <f t="shared" si="22"/>
        <v>0</v>
      </c>
      <c r="AG126" s="1138" t="s">
        <v>26</v>
      </c>
      <c r="AH126" s="1138">
        <f t="shared" si="23"/>
        <v>0</v>
      </c>
      <c r="AI126" s="1139">
        <f t="shared" si="23"/>
        <v>0</v>
      </c>
      <c r="AJ126" s="1138" t="str">
        <f t="shared" si="24"/>
        <v>전정천영</v>
      </c>
      <c r="AK126" s="1138" t="str">
        <f t="shared" si="16"/>
        <v>전공</v>
      </c>
      <c r="AL126" s="66"/>
      <c r="AM126" s="66"/>
    </row>
    <row r="127" spans="1:39" s="67" customFormat="1" ht="24" customHeight="1" x14ac:dyDescent="0.15">
      <c r="A127" s="348">
        <v>117</v>
      </c>
      <c r="B127" s="222" t="s">
        <v>231</v>
      </c>
      <c r="C127" s="133" t="s">
        <v>648</v>
      </c>
      <c r="D127" s="133" t="s">
        <v>651</v>
      </c>
      <c r="E127" s="134">
        <v>105</v>
      </c>
      <c r="F127" s="135">
        <v>105</v>
      </c>
      <c r="G127" s="417"/>
      <c r="H127" s="233" t="s">
        <v>648</v>
      </c>
      <c r="I127" s="233" t="s">
        <v>651</v>
      </c>
      <c r="J127" s="266">
        <v>105</v>
      </c>
      <c r="K127" s="227">
        <v>105</v>
      </c>
      <c r="L127" s="128" t="s">
        <v>654</v>
      </c>
      <c r="M127" s="128" t="s">
        <v>655</v>
      </c>
      <c r="N127" s="1025" t="s">
        <v>664</v>
      </c>
      <c r="O127" s="425" t="s">
        <v>670</v>
      </c>
      <c r="P127" s="353"/>
      <c r="Q127" s="353"/>
      <c r="R127" s="353"/>
      <c r="S127" s="342"/>
      <c r="T127" s="1142" t="s">
        <v>223</v>
      </c>
      <c r="U127" s="1138">
        <f>COUNTIF(D111:D130,"목")</f>
        <v>0</v>
      </c>
      <c r="V127" s="1139">
        <f>COUNTIF(I111:I130,"목")</f>
        <v>0</v>
      </c>
      <c r="W127" s="1138" t="s">
        <v>26</v>
      </c>
      <c r="X127" s="1138">
        <f>SUMIF(D111:D130,"목",F111:F130)</f>
        <v>0</v>
      </c>
      <c r="Y127" s="1139">
        <f>SUMIF(I111:I130,"목",K111:K130)</f>
        <v>0</v>
      </c>
      <c r="Z127" s="1138">
        <f>COUNTIF(AJ111:AJ130,"창국")+COUNTIF(AJ111:AJ130,"창공")</f>
        <v>0</v>
      </c>
      <c r="AA127" s="1139">
        <f>COUNTIF(AK111:AK130,"창국")+COUNTIF(AK111:AK130,"창공")</f>
        <v>0</v>
      </c>
      <c r="AB127" s="1138" t="s">
        <v>26</v>
      </c>
      <c r="AC127" s="1138">
        <f>SUMIF(AJ111:AJ130,"창국",F111:F130)+SUMIF(AJ111:AJ130,"창공",F111:F130)</f>
        <v>0</v>
      </c>
      <c r="AD127" s="1139">
        <f>SUMIF(AK111:AK130,"창국",K111:K130)+SUMIF(AK111:AK130,"창공",K111:K130)</f>
        <v>0</v>
      </c>
      <c r="AE127" s="1138">
        <f t="shared" si="22"/>
        <v>0</v>
      </c>
      <c r="AF127" s="1139">
        <f t="shared" si="22"/>
        <v>0</v>
      </c>
      <c r="AG127" s="1138" t="s">
        <v>26</v>
      </c>
      <c r="AH127" s="1138">
        <f t="shared" si="23"/>
        <v>0</v>
      </c>
      <c r="AI127" s="1139">
        <f t="shared" si="23"/>
        <v>0</v>
      </c>
      <c r="AJ127" s="1138" t="str">
        <f t="shared" si="24"/>
        <v>답이규화</v>
      </c>
      <c r="AK127" s="1138" t="str">
        <f t="shared" si="16"/>
        <v>답공</v>
      </c>
      <c r="AL127" s="66"/>
      <c r="AM127" s="66"/>
    </row>
    <row r="128" spans="1:39" s="67" customFormat="1" ht="24" customHeight="1" x14ac:dyDescent="0.15">
      <c r="A128" s="348"/>
      <c r="B128" s="222" t="s">
        <v>231</v>
      </c>
      <c r="C128" s="1018" t="s">
        <v>420</v>
      </c>
      <c r="D128" s="1018" t="s">
        <v>298</v>
      </c>
      <c r="E128" s="1029">
        <v>276</v>
      </c>
      <c r="F128" s="1029">
        <v>276</v>
      </c>
      <c r="G128" s="1027"/>
      <c r="H128" s="1027"/>
      <c r="I128" s="1027"/>
      <c r="J128" s="1032"/>
      <c r="K128" s="1032"/>
      <c r="L128" s="1016" t="s">
        <v>439</v>
      </c>
      <c r="M128" s="1038" t="s">
        <v>454</v>
      </c>
      <c r="N128" s="1025"/>
      <c r="O128" s="1025"/>
      <c r="P128" s="138"/>
      <c r="Q128" s="138"/>
      <c r="R128" s="102"/>
      <c r="S128" s="342"/>
      <c r="T128" s="1142"/>
      <c r="U128" s="1142"/>
      <c r="V128" s="1143"/>
      <c r="W128" s="1142"/>
      <c r="X128" s="1142"/>
      <c r="Y128" s="1143"/>
      <c r="Z128" s="1138"/>
      <c r="AA128" s="1139"/>
      <c r="AB128" s="1142"/>
      <c r="AC128" s="1138"/>
      <c r="AD128" s="1139"/>
      <c r="AE128" s="1142"/>
      <c r="AF128" s="1143"/>
      <c r="AG128" s="1142"/>
      <c r="AH128" s="1142"/>
      <c r="AI128" s="1143"/>
      <c r="AJ128" s="1138" t="str">
        <f t="shared" si="24"/>
        <v>임유석현외 1인</v>
      </c>
      <c r="AK128" s="1138" t="str">
        <f t="shared" si="16"/>
        <v/>
      </c>
      <c r="AL128" s="66"/>
      <c r="AM128" s="66"/>
    </row>
    <row r="129" spans="1:39" s="67" customFormat="1" ht="24" customHeight="1" x14ac:dyDescent="0.15">
      <c r="A129" s="348"/>
      <c r="B129" s="222" t="s">
        <v>231</v>
      </c>
      <c r="C129" s="1016" t="s">
        <v>421</v>
      </c>
      <c r="D129" s="1016" t="s">
        <v>298</v>
      </c>
      <c r="E129" s="1033">
        <v>6</v>
      </c>
      <c r="F129" s="1033">
        <v>6</v>
      </c>
      <c r="G129" s="1025"/>
      <c r="H129" s="1025"/>
      <c r="I129" s="1025"/>
      <c r="J129" s="1036"/>
      <c r="K129" s="1036"/>
      <c r="L129" s="1016" t="s">
        <v>440</v>
      </c>
      <c r="M129" s="1016" t="s">
        <v>441</v>
      </c>
      <c r="N129" s="1025"/>
      <c r="O129" s="1025"/>
      <c r="P129" s="203"/>
      <c r="Q129" s="203"/>
      <c r="R129" s="203"/>
      <c r="S129" s="342"/>
      <c r="T129" s="1142"/>
      <c r="U129" s="1142"/>
      <c r="V129" s="1143"/>
      <c r="W129" s="1142"/>
      <c r="X129" s="1142"/>
      <c r="Y129" s="1143"/>
      <c r="Z129" s="1138"/>
      <c r="AA129" s="1139"/>
      <c r="AB129" s="1142"/>
      <c r="AC129" s="1138"/>
      <c r="AD129" s="1139"/>
      <c r="AE129" s="1142"/>
      <c r="AF129" s="1143"/>
      <c r="AG129" s="1142"/>
      <c r="AH129" s="1142"/>
      <c r="AI129" s="1143"/>
      <c r="AJ129" s="1138" t="str">
        <f t="shared" si="24"/>
        <v>임박상훈</v>
      </c>
      <c r="AK129" s="1138" t="str">
        <f t="shared" si="16"/>
        <v/>
      </c>
      <c r="AL129" s="66"/>
      <c r="AM129" s="66"/>
    </row>
    <row r="130" spans="1:39" s="67" customFormat="1" ht="24" customHeight="1" x14ac:dyDescent="0.15">
      <c r="A130" s="348"/>
      <c r="B130" s="222" t="s">
        <v>231</v>
      </c>
      <c r="C130" s="1016" t="s">
        <v>463</v>
      </c>
      <c r="D130" s="1016" t="s">
        <v>27</v>
      </c>
      <c r="E130" s="1033">
        <v>489</v>
      </c>
      <c r="F130" s="1033">
        <v>10</v>
      </c>
      <c r="G130" s="1025"/>
      <c r="H130" s="1025"/>
      <c r="I130" s="1025"/>
      <c r="J130" s="1036"/>
      <c r="K130" s="1036"/>
      <c r="L130" s="1016" t="s">
        <v>482</v>
      </c>
      <c r="M130" s="1016" t="s">
        <v>483</v>
      </c>
      <c r="N130" s="1025"/>
      <c r="O130" s="1025"/>
      <c r="P130" s="153"/>
      <c r="Q130" s="559"/>
      <c r="R130" s="153"/>
      <c r="S130" s="342"/>
      <c r="T130" s="1144" t="s">
        <v>37</v>
      </c>
      <c r="U130" s="1144">
        <f>COUNTIF(D111:D130,"철")</f>
        <v>0</v>
      </c>
      <c r="V130" s="1145">
        <f>COUNTIF(I111:I130,"철")</f>
        <v>0</v>
      </c>
      <c r="W130" s="1144" t="s">
        <v>26</v>
      </c>
      <c r="X130" s="1144">
        <f>SUMIF(D111:D130,"철",F111:F130)</f>
        <v>0</v>
      </c>
      <c r="Y130" s="1145">
        <f>SUMIF(I111:I130,"철",K111:K130)</f>
        <v>0</v>
      </c>
      <c r="Z130" s="1138">
        <f>COUNTIF(AJ111:AJ130,"철국")+COUNTIF(AJ111:AJ130,"철공")</f>
        <v>0</v>
      </c>
      <c r="AA130" s="1139">
        <f>COUNTIF(AK111:AK130,"철국")+COUNTIF(AK111:AK130,"철공")</f>
        <v>0</v>
      </c>
      <c r="AB130" s="1144" t="s">
        <v>26</v>
      </c>
      <c r="AC130" s="1138">
        <f>SUMIF(AJ111:AJ130,"철국",F111:F130)+SUMIF(AJ111:AJ130,"철공",F111:F130)</f>
        <v>0</v>
      </c>
      <c r="AD130" s="1139">
        <f>SUMIF(AK111:AK130,"철국",K111:K130)+SUMIF(AK111:AK130,"철공",K111:K130)</f>
        <v>0</v>
      </c>
      <c r="AE130" s="1144"/>
      <c r="AF130" s="1145"/>
      <c r="AG130" s="1144"/>
      <c r="AH130" s="1144"/>
      <c r="AI130" s="1145"/>
      <c r="AJ130" s="1138" t="str">
        <f t="shared" si="24"/>
        <v>전김삼경</v>
      </c>
      <c r="AK130" s="1138" t="str">
        <f t="shared" si="16"/>
        <v/>
      </c>
      <c r="AL130" s="66"/>
      <c r="AM130" s="66"/>
    </row>
    <row r="131" spans="1:39" s="57" customFormat="1" ht="24" customHeight="1" thickBot="1" x14ac:dyDescent="0.2">
      <c r="A131" s="1146" t="s">
        <v>48</v>
      </c>
      <c r="B131" s="1147"/>
      <c r="C131" s="1147"/>
      <c r="D131" s="1147"/>
      <c r="E131" s="1147"/>
      <c r="F131" s="1148">
        <f>SUM(F111:F130)</f>
        <v>3130</v>
      </c>
      <c r="G131" s="1149"/>
      <c r="H131" s="1149"/>
      <c r="I131" s="1150"/>
      <c r="J131" s="1158"/>
      <c r="K131" s="1159">
        <f>SUM(K111:K130)</f>
        <v>2838</v>
      </c>
      <c r="L131" s="1153"/>
      <c r="M131" s="1153"/>
      <c r="N131" s="1154"/>
      <c r="O131" s="1154"/>
      <c r="P131" s="1153"/>
      <c r="Q131" s="1153"/>
      <c r="R131" s="1153"/>
      <c r="S131" s="1155"/>
      <c r="T131" s="1156" t="s">
        <v>24</v>
      </c>
      <c r="U131" s="1157">
        <f t="shared" ref="U131:AA131" si="25">SUM(U111:U130)</f>
        <v>20</v>
      </c>
      <c r="V131" s="1157">
        <f t="shared" si="25"/>
        <v>17</v>
      </c>
      <c r="W131" s="1157">
        <f t="shared" si="25"/>
        <v>0</v>
      </c>
      <c r="X131" s="1157">
        <f t="shared" si="25"/>
        <v>3130</v>
      </c>
      <c r="Y131" s="1157">
        <f t="shared" si="25"/>
        <v>2838</v>
      </c>
      <c r="Z131" s="1138">
        <f t="shared" si="25"/>
        <v>0</v>
      </c>
      <c r="AA131" s="1139">
        <f t="shared" si="25"/>
        <v>17</v>
      </c>
      <c r="AB131" s="1138" t="s">
        <v>26</v>
      </c>
      <c r="AC131" s="1138">
        <f>SUM(AC111:AC130)</f>
        <v>0</v>
      </c>
      <c r="AD131" s="1139">
        <f>SUM(AD111:AD130)</f>
        <v>2838</v>
      </c>
      <c r="AE131" s="1157">
        <f>SUM(AE111:AE130)</f>
        <v>20</v>
      </c>
      <c r="AF131" s="1157">
        <f>SUM(AF111:AF130)</f>
        <v>0</v>
      </c>
      <c r="AG131" s="1157" t="s">
        <v>26</v>
      </c>
      <c r="AH131" s="1157">
        <f>SUM(AH111:AH130)</f>
        <v>3130</v>
      </c>
      <c r="AI131" s="1157">
        <f>SUM(AI111:AI130)</f>
        <v>0</v>
      </c>
      <c r="AJ131" s="1157"/>
      <c r="AK131" s="1138" t="str">
        <f t="shared" si="16"/>
        <v/>
      </c>
    </row>
    <row r="132" spans="1:39" s="67" customFormat="1" ht="24" customHeight="1" x14ac:dyDescent="0.15">
      <c r="A132" s="159"/>
      <c r="B132" s="318" t="s">
        <v>228</v>
      </c>
      <c r="C132" s="1016" t="s">
        <v>468</v>
      </c>
      <c r="D132" s="1016" t="s">
        <v>27</v>
      </c>
      <c r="E132" s="1033">
        <v>172</v>
      </c>
      <c r="F132" s="1033">
        <v>172</v>
      </c>
      <c r="G132" s="1025"/>
      <c r="H132" s="1025"/>
      <c r="I132" s="1025"/>
      <c r="J132" s="1036"/>
      <c r="K132" s="1036"/>
      <c r="L132" s="1016" t="s">
        <v>488</v>
      </c>
      <c r="M132" s="1037" t="s">
        <v>678</v>
      </c>
      <c r="N132" s="1025"/>
      <c r="O132" s="1025"/>
      <c r="P132" s="144"/>
      <c r="Q132" s="144"/>
      <c r="R132" s="144"/>
      <c r="S132" s="1161"/>
      <c r="T132" s="1138" t="s">
        <v>27</v>
      </c>
      <c r="U132" s="1138">
        <f>COUNTIF(D132:D151,"전")</f>
        <v>2</v>
      </c>
      <c r="V132" s="1139">
        <f>COUNTIF(I132:I151,"전")</f>
        <v>0</v>
      </c>
      <c r="W132" s="1138" t="s">
        <v>26</v>
      </c>
      <c r="X132" s="1138">
        <f>SUMIF(D132:D151,"전",F132:F151)</f>
        <v>425</v>
      </c>
      <c r="Y132" s="1139">
        <f>SUMIF(I132:I151,"전",K132:K151)</f>
        <v>0</v>
      </c>
      <c r="Z132" s="1138">
        <f>COUNTIF(AJ132:AJ151,"전국")+COUNTIF(AJ132:AJ151,"전공")</f>
        <v>0</v>
      </c>
      <c r="AA132" s="1139">
        <f>COUNTIF(AK132:AK151,"전국")+COUNTIF(AK132:AK151,"전공")</f>
        <v>0</v>
      </c>
      <c r="AB132" s="1138" t="s">
        <v>26</v>
      </c>
      <c r="AC132" s="1138">
        <f>SUMIF(AJ132:AJ151,"전국",F132:F151)+SUMIF(AJ132:AJ151,"전공",F132:F151)</f>
        <v>0</v>
      </c>
      <c r="AD132" s="1139">
        <f>SUMIF(AK132:AK151,"전국",K132:K151)+SUMIF(AK132:AK151,"전공",K132:K151)</f>
        <v>0</v>
      </c>
      <c r="AE132" s="1138">
        <f t="shared" ref="AE132:AF148" si="26">U132-Z132</f>
        <v>2</v>
      </c>
      <c r="AF132" s="1139">
        <f t="shared" si="26"/>
        <v>0</v>
      </c>
      <c r="AG132" s="1138" t="s">
        <v>26</v>
      </c>
      <c r="AH132" s="1138">
        <f t="shared" ref="AH132:AI148" si="27">X132-AC132</f>
        <v>425</v>
      </c>
      <c r="AI132" s="1139">
        <f t="shared" si="27"/>
        <v>0</v>
      </c>
      <c r="AJ132" s="1138" t="str">
        <f t="shared" ref="AJ132:AJ151" si="28">CONCATENATE(D132,L132)</f>
        <v>전박귀애</v>
      </c>
      <c r="AK132" s="1138" t="str">
        <f t="shared" si="16"/>
        <v/>
      </c>
    </row>
    <row r="133" spans="1:39" s="67" customFormat="1" ht="24" customHeight="1" x14ac:dyDescent="0.15">
      <c r="A133" s="160"/>
      <c r="B133" s="222" t="s">
        <v>231</v>
      </c>
      <c r="C133" s="1016" t="s">
        <v>502</v>
      </c>
      <c r="D133" s="1016" t="s">
        <v>340</v>
      </c>
      <c r="E133" s="1033">
        <v>9</v>
      </c>
      <c r="F133" s="1033">
        <v>9</v>
      </c>
      <c r="G133" s="357"/>
      <c r="H133" s="1025"/>
      <c r="I133" s="1025"/>
      <c r="J133" s="1036"/>
      <c r="K133" s="1036"/>
      <c r="L133" s="1016" t="s">
        <v>497</v>
      </c>
      <c r="M133" s="1016" t="s">
        <v>498</v>
      </c>
      <c r="N133" s="1025"/>
      <c r="O133" s="1025"/>
      <c r="P133" s="128"/>
      <c r="Q133" s="128"/>
      <c r="R133" s="128"/>
      <c r="S133" s="1162"/>
      <c r="T133" s="1138" t="s">
        <v>28</v>
      </c>
      <c r="U133" s="1138">
        <f>COUNTIF(D132:D151,"답")</f>
        <v>2</v>
      </c>
      <c r="V133" s="1139">
        <f>COUNTIF(I132:I151,"답")</f>
        <v>0</v>
      </c>
      <c r="W133" s="1138" t="s">
        <v>26</v>
      </c>
      <c r="X133" s="1138">
        <f>SUMIF(D132:D151,"답",F132:F151)</f>
        <v>374</v>
      </c>
      <c r="Y133" s="1139">
        <f>SUMIF(I132:I151,"답",K132:K151)</f>
        <v>0</v>
      </c>
      <c r="Z133" s="1138">
        <f>COUNTIF(AJ132:AJ151,"답국")+COUNTIF(AJ132:AJ151,"답공")</f>
        <v>0</v>
      </c>
      <c r="AA133" s="1139">
        <f>COUNTIF(AK132:AK151,"답국")+COUNTIF(AK132:AK151,"답공")</f>
        <v>0</v>
      </c>
      <c r="AB133" s="1138" t="s">
        <v>26</v>
      </c>
      <c r="AC133" s="1138">
        <f>SUMIF(AJ132:AJ151,"답국",F132:F151)+SUMIF(AJ132:AJ151,"답공",F132:F151)</f>
        <v>0</v>
      </c>
      <c r="AD133" s="1139">
        <f>SUMIF(AK132:AK151,"답국",K132:K151)+SUMIF(AK132:AK151,"답공",K132:K151)</f>
        <v>0</v>
      </c>
      <c r="AE133" s="1138">
        <f t="shared" si="26"/>
        <v>2</v>
      </c>
      <c r="AF133" s="1139">
        <f t="shared" si="26"/>
        <v>0</v>
      </c>
      <c r="AG133" s="1138" t="s">
        <v>26</v>
      </c>
      <c r="AH133" s="1138">
        <f t="shared" si="27"/>
        <v>374</v>
      </c>
      <c r="AI133" s="1139">
        <f t="shared" si="27"/>
        <v>0</v>
      </c>
      <c r="AJ133" s="1138" t="str">
        <f t="shared" si="28"/>
        <v>목이병조</v>
      </c>
      <c r="AK133" s="1138" t="str">
        <f t="shared" si="16"/>
        <v/>
      </c>
    </row>
    <row r="134" spans="1:39" s="67" customFormat="1" ht="24" customHeight="1" x14ac:dyDescent="0.15">
      <c r="A134" s="160"/>
      <c r="B134" s="222" t="s">
        <v>231</v>
      </c>
      <c r="C134" s="1016" t="s">
        <v>628</v>
      </c>
      <c r="D134" s="1016" t="s">
        <v>28</v>
      </c>
      <c r="E134" s="1033">
        <v>2480</v>
      </c>
      <c r="F134" s="1033">
        <v>21</v>
      </c>
      <c r="G134" s="417"/>
      <c r="H134" s="1025"/>
      <c r="I134" s="1025"/>
      <c r="J134" s="1036"/>
      <c r="K134" s="1036"/>
      <c r="L134" s="1016" t="s">
        <v>632</v>
      </c>
      <c r="M134" s="1016" t="s">
        <v>633</v>
      </c>
      <c r="N134" s="1025"/>
      <c r="O134" s="425"/>
      <c r="P134" s="128"/>
      <c r="Q134" s="128"/>
      <c r="R134" s="128"/>
      <c r="S134" s="1162"/>
      <c r="T134" s="1138" t="s">
        <v>44</v>
      </c>
      <c r="U134" s="1138">
        <f>COUNTIF(D132:D151,"임")</f>
        <v>0</v>
      </c>
      <c r="V134" s="1139">
        <f>COUNTIF(I132:I151,"임")</f>
        <v>0</v>
      </c>
      <c r="W134" s="1138" t="s">
        <v>26</v>
      </c>
      <c r="X134" s="1138">
        <f>SUMIF(D132:D151,"임",F132:F151)</f>
        <v>0</v>
      </c>
      <c r="Y134" s="1139">
        <f>SUMIF(I132:I151,"임",K132:K151)</f>
        <v>0</v>
      </c>
      <c r="Z134" s="1138">
        <f>COUNTIF(AJ132:AJ151,"임국")+COUNTIF(AJ132:AJ151,"임공")</f>
        <v>0</v>
      </c>
      <c r="AA134" s="1139">
        <f>COUNTIF(AK132:AK151,"임국")+COUNTIF(AK132:AK151,"임공")</f>
        <v>0</v>
      </c>
      <c r="AB134" s="1138" t="s">
        <v>26</v>
      </c>
      <c r="AC134" s="1138">
        <f>SUMIF(AJ132:AJ151,"임국",F132:F151)+SUMIF(AJ132:AJ151,"임공",F132:F151)</f>
        <v>0</v>
      </c>
      <c r="AD134" s="1139">
        <f>SUMIF(AK132:AK151,"임국",K132:K151)+SUMIF(AK132:AK151,"임공",K132:K151)</f>
        <v>0</v>
      </c>
      <c r="AE134" s="1138">
        <f t="shared" si="26"/>
        <v>0</v>
      </c>
      <c r="AF134" s="1139">
        <f t="shared" si="26"/>
        <v>0</v>
      </c>
      <c r="AG134" s="1138" t="s">
        <v>26</v>
      </c>
      <c r="AH134" s="1138">
        <f t="shared" si="27"/>
        <v>0</v>
      </c>
      <c r="AI134" s="1139">
        <f t="shared" si="27"/>
        <v>0</v>
      </c>
      <c r="AJ134" s="1138" t="str">
        <f t="shared" si="28"/>
        <v>답이효순</v>
      </c>
      <c r="AK134" s="1138" t="str">
        <f t="shared" si="16"/>
        <v/>
      </c>
      <c r="AL134" s="66"/>
      <c r="AM134" s="66"/>
    </row>
    <row r="135" spans="1:39" s="67" customFormat="1" ht="24" customHeight="1" x14ac:dyDescent="0.15">
      <c r="A135" s="160"/>
      <c r="B135" s="222" t="s">
        <v>231</v>
      </c>
      <c r="C135" s="1016" t="s">
        <v>630</v>
      </c>
      <c r="D135" s="1016" t="s">
        <v>28</v>
      </c>
      <c r="E135" s="1033">
        <v>902</v>
      </c>
      <c r="F135" s="1033">
        <v>353</v>
      </c>
      <c r="G135" s="505"/>
      <c r="H135" s="1025"/>
      <c r="I135" s="1025"/>
      <c r="J135" s="1036"/>
      <c r="K135" s="1036"/>
      <c r="L135" s="1016" t="s">
        <v>632</v>
      </c>
      <c r="M135" s="1016" t="s">
        <v>633</v>
      </c>
      <c r="N135" s="1025"/>
      <c r="O135" s="425"/>
      <c r="P135" s="128"/>
      <c r="Q135" s="128"/>
      <c r="R135" s="128"/>
      <c r="S135" s="1162"/>
      <c r="T135" s="1138" t="s">
        <v>45</v>
      </c>
      <c r="U135" s="1138">
        <f>COUNTIF(D132:D151,"대")</f>
        <v>0</v>
      </c>
      <c r="V135" s="1139">
        <f>COUNTIF(I132:I151,"대")</f>
        <v>0</v>
      </c>
      <c r="W135" s="1138" t="s">
        <v>26</v>
      </c>
      <c r="X135" s="1138">
        <f>SUMIF(D132:D151,"대",F132:F151)</f>
        <v>0</v>
      </c>
      <c r="Y135" s="1139">
        <f>SUMIF(I132:I151,"대",K132:K151)</f>
        <v>0</v>
      </c>
      <c r="Z135" s="1138">
        <f>COUNTIF(AJ132:AJ151,"대국")+COUNTIF(AJ132:AJ151,"대공")</f>
        <v>0</v>
      </c>
      <c r="AA135" s="1139">
        <f>COUNTIF(AK132:AK151,"대국")+COUNTIF(AK132:AK151,"대공")</f>
        <v>0</v>
      </c>
      <c r="AB135" s="1138" t="s">
        <v>26</v>
      </c>
      <c r="AC135" s="1138">
        <f>SUMIF(AJ132:AJ151,"대국",F132:F151)+SUMIF(AJ132:AJ151,"대공",F132:F151)</f>
        <v>0</v>
      </c>
      <c r="AD135" s="1139">
        <f>SUMIF(AK132:AK151,"대국",K132:K151)+SUMIF(AK132:AK151,"대공",K132:K151)</f>
        <v>0</v>
      </c>
      <c r="AE135" s="1138">
        <f t="shared" si="26"/>
        <v>0</v>
      </c>
      <c r="AF135" s="1139">
        <f t="shared" si="26"/>
        <v>0</v>
      </c>
      <c r="AG135" s="1138" t="s">
        <v>26</v>
      </c>
      <c r="AH135" s="1138">
        <f t="shared" si="27"/>
        <v>0</v>
      </c>
      <c r="AI135" s="1139">
        <f t="shared" si="27"/>
        <v>0</v>
      </c>
      <c r="AJ135" s="1138" t="str">
        <f t="shared" si="28"/>
        <v>답이효순</v>
      </c>
      <c r="AK135" s="1138" t="str">
        <f t="shared" ref="AK135:AK198" si="29">CONCATENATE(I135,N135)</f>
        <v/>
      </c>
      <c r="AL135" s="66"/>
      <c r="AM135" s="66"/>
    </row>
    <row r="136" spans="1:39" s="67" customFormat="1" ht="24" customHeight="1" x14ac:dyDescent="0.15">
      <c r="A136" s="160"/>
      <c r="B136" s="222" t="s">
        <v>231</v>
      </c>
      <c r="C136" s="133" t="s">
        <v>679</v>
      </c>
      <c r="D136" s="133" t="s">
        <v>680</v>
      </c>
      <c r="E136" s="134">
        <v>409</v>
      </c>
      <c r="F136" s="135">
        <v>253</v>
      </c>
      <c r="G136" s="417"/>
      <c r="H136" s="233"/>
      <c r="I136" s="233"/>
      <c r="J136" s="266"/>
      <c r="K136" s="227"/>
      <c r="L136" s="128" t="s">
        <v>681</v>
      </c>
      <c r="M136" s="128" t="s">
        <v>682</v>
      </c>
      <c r="N136" s="1025"/>
      <c r="O136" s="425"/>
      <c r="P136" s="467"/>
      <c r="Q136" s="1163"/>
      <c r="R136" s="467"/>
      <c r="S136" s="1162"/>
      <c r="T136" s="1138" t="s">
        <v>31</v>
      </c>
      <c r="U136" s="1138">
        <f>COUNTIF(D132:D151,"도")</f>
        <v>0</v>
      </c>
      <c r="V136" s="1139">
        <f>COUNTIF(I132:I151,"도")</f>
        <v>0</v>
      </c>
      <c r="W136" s="1138" t="s">
        <v>26</v>
      </c>
      <c r="X136" s="1138">
        <f>SUMIF(D132:D151,"도",F132:F151)</f>
        <v>0</v>
      </c>
      <c r="Y136" s="1139">
        <f>SUMIF(I132:I151,"도",K132:K151)</f>
        <v>0</v>
      </c>
      <c r="Z136" s="1138">
        <f>COUNTIF(AJ132:AJ151,"도국")+COUNTIF(AJ132:AJ151,"도공")</f>
        <v>0</v>
      </c>
      <c r="AA136" s="1139">
        <f>COUNTIF(AK132:AK151,"도국")+COUNTIF(AK132:AK151,"도공")</f>
        <v>0</v>
      </c>
      <c r="AB136" s="1138" t="s">
        <v>26</v>
      </c>
      <c r="AC136" s="1138">
        <f>SUMIF(AJ132:AJ151,"도국",F132:F151)+SUMIF(AJ132:AJ151,"도공",F132:F151)</f>
        <v>0</v>
      </c>
      <c r="AD136" s="1139">
        <f>SUMIF(AK132:AK151,"도국",K132:K151)+SUMIF(AK132:AK151,"도공",K132:K151)</f>
        <v>0</v>
      </c>
      <c r="AE136" s="1138">
        <f t="shared" si="26"/>
        <v>0</v>
      </c>
      <c r="AF136" s="1139">
        <f t="shared" si="26"/>
        <v>0</v>
      </c>
      <c r="AG136" s="1138" t="s">
        <v>26</v>
      </c>
      <c r="AH136" s="1138">
        <f t="shared" si="27"/>
        <v>0</v>
      </c>
      <c r="AI136" s="1139">
        <f t="shared" si="27"/>
        <v>0</v>
      </c>
      <c r="AJ136" s="1138" t="str">
        <f t="shared" si="28"/>
        <v>전정재성</v>
      </c>
      <c r="AK136" s="1138" t="str">
        <f t="shared" si="29"/>
        <v/>
      </c>
      <c r="AL136" s="66"/>
      <c r="AM136" s="66"/>
    </row>
    <row r="137" spans="1:39" s="67" customFormat="1" ht="24" customHeight="1" x14ac:dyDescent="0.15">
      <c r="A137" s="160"/>
      <c r="B137" s="222"/>
      <c r="C137" s="133"/>
      <c r="D137" s="133"/>
      <c r="E137" s="134"/>
      <c r="F137" s="135"/>
      <c r="G137" s="417"/>
      <c r="H137" s="492"/>
      <c r="I137" s="492"/>
      <c r="J137" s="344"/>
      <c r="K137" s="507"/>
      <c r="L137" s="128"/>
      <c r="M137" s="128"/>
      <c r="N137" s="425"/>
      <c r="O137" s="425"/>
      <c r="P137" s="128"/>
      <c r="Q137" s="128"/>
      <c r="R137" s="128"/>
      <c r="S137" s="1162"/>
      <c r="T137" s="1138" t="s">
        <v>32</v>
      </c>
      <c r="U137" s="1140">
        <f>COUNTIF(D132:D151,"천")</f>
        <v>0</v>
      </c>
      <c r="V137" s="1141">
        <f>COUNTIF(I132:I151,"천")</f>
        <v>0</v>
      </c>
      <c r="W137" s="1138" t="s">
        <v>26</v>
      </c>
      <c r="X137" s="1138">
        <f>SUMIF(D132:D151,"천",F132:F151)</f>
        <v>0</v>
      </c>
      <c r="Y137" s="1139">
        <f>SUMIF(I132:I151,"천",K132:K151)</f>
        <v>0</v>
      </c>
      <c r="Z137" s="1164">
        <f>COUNTIF(AJ132:AJ151,"천국")+COUNTIF(AJ132:AJ151,"천공")</f>
        <v>0</v>
      </c>
      <c r="AA137" s="1165">
        <f>COUNTIF(AK132:AK151,"천국")+COUNTIF(AK132:AK151,"천공")</f>
        <v>0</v>
      </c>
      <c r="AB137" s="1164" t="s">
        <v>26</v>
      </c>
      <c r="AC137" s="1164">
        <f>SUMIF(AJ132:AJ151,"천국",F132:F151)+SUMIF(AJ132:AJ151,"천공",F132:F151)</f>
        <v>0</v>
      </c>
      <c r="AD137" s="1165">
        <f>SUMIF(AK132:AK151,"천국",K132:K151)+SUMIF(AK132:AK151,"천공",K132:K151)</f>
        <v>0</v>
      </c>
      <c r="AE137" s="1138">
        <f t="shared" si="26"/>
        <v>0</v>
      </c>
      <c r="AF137" s="1139">
        <f t="shared" si="26"/>
        <v>0</v>
      </c>
      <c r="AG137" s="1138" t="s">
        <v>26</v>
      </c>
      <c r="AH137" s="1138">
        <f t="shared" si="27"/>
        <v>0</v>
      </c>
      <c r="AI137" s="1139">
        <f t="shared" si="27"/>
        <v>0</v>
      </c>
      <c r="AJ137" s="1138" t="str">
        <f t="shared" si="28"/>
        <v/>
      </c>
      <c r="AK137" s="1138" t="str">
        <f t="shared" si="29"/>
        <v/>
      </c>
      <c r="AL137" s="66"/>
      <c r="AM137" s="66"/>
    </row>
    <row r="138" spans="1:39" s="67" customFormat="1" ht="24" customHeight="1" x14ac:dyDescent="0.15">
      <c r="A138" s="160"/>
      <c r="B138" s="222"/>
      <c r="C138" s="133"/>
      <c r="D138" s="133"/>
      <c r="E138" s="134"/>
      <c r="F138" s="135"/>
      <c r="G138" s="417"/>
      <c r="H138" s="492"/>
      <c r="I138" s="492"/>
      <c r="J138" s="344"/>
      <c r="K138" s="507"/>
      <c r="L138" s="128"/>
      <c r="M138" s="128"/>
      <c r="N138" s="425"/>
      <c r="O138" s="425"/>
      <c r="P138" s="128"/>
      <c r="Q138" s="128"/>
      <c r="R138" s="128"/>
      <c r="S138" s="1162"/>
      <c r="T138" s="1138" t="s">
        <v>33</v>
      </c>
      <c r="U138" s="1138">
        <f>COUNTIF(D132:D151,"구")</f>
        <v>0</v>
      </c>
      <c r="V138" s="1139">
        <f>COUNTIF(I132:I151,"구")</f>
        <v>0</v>
      </c>
      <c r="W138" s="1138" t="s">
        <v>26</v>
      </c>
      <c r="X138" s="1138">
        <f>SUMIF(D132:D151,"구",F132:F151)</f>
        <v>0</v>
      </c>
      <c r="Y138" s="1139">
        <f>SUMIF(I132:I151,"구",K132:K151)</f>
        <v>0</v>
      </c>
      <c r="Z138" s="1164">
        <f>COUNTIF(AJ132:AJ151,"구국")+COUNTIF(AJ132:AJ151,"구공")</f>
        <v>0</v>
      </c>
      <c r="AA138" s="1165">
        <f>COUNTIF(AK132:AK151,"구국")+COUNTIF(AK132:AK151,"구공")</f>
        <v>0</v>
      </c>
      <c r="AB138" s="1164" t="s">
        <v>26</v>
      </c>
      <c r="AC138" s="1164">
        <f>SUMIF(AJ132:AJ151,"구국",F132:F151)+SUMIF(AJ132:AJ151,"구공",F132:F151)</f>
        <v>0</v>
      </c>
      <c r="AD138" s="1165">
        <f>SUMIF(AK132:AK151,"구국",K132:K151)+SUMIF(AK132:AK151,"구공",K132:K151)</f>
        <v>0</v>
      </c>
      <c r="AE138" s="1138">
        <f t="shared" si="26"/>
        <v>0</v>
      </c>
      <c r="AF138" s="1139">
        <f t="shared" si="26"/>
        <v>0</v>
      </c>
      <c r="AG138" s="1138" t="s">
        <v>26</v>
      </c>
      <c r="AH138" s="1138">
        <f t="shared" si="27"/>
        <v>0</v>
      </c>
      <c r="AI138" s="1139">
        <f t="shared" si="27"/>
        <v>0</v>
      </c>
      <c r="AJ138" s="1138" t="str">
        <f t="shared" si="28"/>
        <v/>
      </c>
      <c r="AK138" s="1138" t="str">
        <f t="shared" si="29"/>
        <v/>
      </c>
      <c r="AL138" s="66"/>
      <c r="AM138" s="66"/>
    </row>
    <row r="139" spans="1:39" s="67" customFormat="1" ht="24" customHeight="1" x14ac:dyDescent="0.15">
      <c r="A139" s="160"/>
      <c r="B139" s="127"/>
      <c r="C139" s="133"/>
      <c r="D139" s="133"/>
      <c r="E139" s="134"/>
      <c r="F139" s="135"/>
      <c r="G139" s="417"/>
      <c r="H139" s="492"/>
      <c r="I139" s="492"/>
      <c r="J139" s="344"/>
      <c r="K139" s="507"/>
      <c r="L139" s="128"/>
      <c r="M139" s="128"/>
      <c r="N139" s="425"/>
      <c r="O139" s="425"/>
      <c r="P139" s="128"/>
      <c r="Q139" s="128"/>
      <c r="R139" s="128"/>
      <c r="S139" s="1162"/>
      <c r="T139" s="1138" t="s">
        <v>34</v>
      </c>
      <c r="U139" s="1138">
        <f>COUNTIF(D132:D151,"제")</f>
        <v>0</v>
      </c>
      <c r="V139" s="1139">
        <f>COUNTIF(I132:I151,"제")</f>
        <v>0</v>
      </c>
      <c r="W139" s="1138" t="s">
        <v>26</v>
      </c>
      <c r="X139" s="1138">
        <f>SUMIF(D132:D151,"제",F132:F151)</f>
        <v>0</v>
      </c>
      <c r="Y139" s="1139">
        <f>SUMIF(I132:I151,"제",K132:K151)</f>
        <v>0</v>
      </c>
      <c r="Z139" s="1164">
        <f>COUNTIF(AJ132:AJ151,"제국")+COUNTIF(AJ132:AJ151,"제공")</f>
        <v>0</v>
      </c>
      <c r="AA139" s="1165">
        <f>COUNTIF(AK132:AK151,"제국")+COUNTIF(AK132:AK151,"제공")</f>
        <v>0</v>
      </c>
      <c r="AB139" s="1164" t="s">
        <v>26</v>
      </c>
      <c r="AC139" s="1164">
        <f>SUMIF(AJ132:AJ151,"제국",F132:F151)+SUMIF(AJ132:AJ151,"제공",F132:F151)</f>
        <v>0</v>
      </c>
      <c r="AD139" s="1165">
        <f>SUMIF(AK132:AK151,"제국",K132:K151)+SUMIF(AK132:AK151,"제공",K132:K151)</f>
        <v>0</v>
      </c>
      <c r="AE139" s="1138">
        <f t="shared" si="26"/>
        <v>0</v>
      </c>
      <c r="AF139" s="1139">
        <f t="shared" si="26"/>
        <v>0</v>
      </c>
      <c r="AG139" s="1138" t="s">
        <v>26</v>
      </c>
      <c r="AH139" s="1138">
        <f t="shared" si="27"/>
        <v>0</v>
      </c>
      <c r="AI139" s="1139">
        <f t="shared" si="27"/>
        <v>0</v>
      </c>
      <c r="AJ139" s="1138" t="str">
        <f t="shared" si="28"/>
        <v/>
      </c>
      <c r="AK139" s="1138" t="str">
        <f t="shared" si="29"/>
        <v/>
      </c>
      <c r="AL139" s="66"/>
      <c r="AM139" s="66"/>
    </row>
    <row r="140" spans="1:39" s="67" customFormat="1" ht="24" customHeight="1" x14ac:dyDescent="0.15">
      <c r="A140" s="160"/>
      <c r="B140" s="222"/>
      <c r="C140" s="1166"/>
      <c r="D140" s="133"/>
      <c r="E140" s="1167"/>
      <c r="F140" s="1168"/>
      <c r="G140" s="1169"/>
      <c r="H140" s="598"/>
      <c r="I140" s="599"/>
      <c r="J140" s="600"/>
      <c r="K140" s="600"/>
      <c r="L140" s="1170"/>
      <c r="M140" s="1170"/>
      <c r="N140" s="1171"/>
      <c r="O140" s="1171"/>
      <c r="P140" s="193"/>
      <c r="Q140" s="193"/>
      <c r="R140" s="193"/>
      <c r="S140" s="1162"/>
      <c r="T140" s="1138" t="s">
        <v>46</v>
      </c>
      <c r="U140" s="1138">
        <f>COUNTIF(D132:D151,"유")</f>
        <v>0</v>
      </c>
      <c r="V140" s="1139">
        <f>COUNTIF(I132:I151,"유")</f>
        <v>0</v>
      </c>
      <c r="W140" s="1138" t="s">
        <v>26</v>
      </c>
      <c r="X140" s="1138">
        <f>SUMIF(D132:D151,"유",F132:F151)</f>
        <v>0</v>
      </c>
      <c r="Y140" s="1139">
        <f>SUMIF(I132:I151,"유",K132:K151)</f>
        <v>0</v>
      </c>
      <c r="Z140" s="1164">
        <f>COUNTIF(AJ132:AJ151,"유국")+COUNTIF(AJ132:AJ151,"유공")</f>
        <v>0</v>
      </c>
      <c r="AA140" s="1165">
        <f>COUNTIF(AK132:AK151,"유국")+COUNTIF(AK132:AK151,"유공")</f>
        <v>0</v>
      </c>
      <c r="AB140" s="1164" t="s">
        <v>26</v>
      </c>
      <c r="AC140" s="1164">
        <f>SUMIF(AJ132:AJ151,"유국",F132:F151)+SUMIF(AJ132:AJ151,"유공",F132:F151)</f>
        <v>0</v>
      </c>
      <c r="AD140" s="1165">
        <f>SUMIF(AK132:AK151,"유국",K132:K151)+SUMIF(AK132:AK151,"유공",K132:K151)</f>
        <v>0</v>
      </c>
      <c r="AE140" s="1138">
        <f t="shared" si="26"/>
        <v>0</v>
      </c>
      <c r="AF140" s="1139">
        <f t="shared" si="26"/>
        <v>0</v>
      </c>
      <c r="AG140" s="1138" t="s">
        <v>26</v>
      </c>
      <c r="AH140" s="1138">
        <f t="shared" si="27"/>
        <v>0</v>
      </c>
      <c r="AI140" s="1139">
        <f t="shared" si="27"/>
        <v>0</v>
      </c>
      <c r="AJ140" s="1138" t="str">
        <f t="shared" si="28"/>
        <v/>
      </c>
      <c r="AK140" s="1138" t="str">
        <f t="shared" si="29"/>
        <v/>
      </c>
      <c r="AL140" s="66"/>
      <c r="AM140" s="66"/>
    </row>
    <row r="141" spans="1:39" s="67" customFormat="1" ht="24" customHeight="1" x14ac:dyDescent="0.15">
      <c r="A141" s="160"/>
      <c r="B141" s="222"/>
      <c r="C141" s="222"/>
      <c r="D141" s="133"/>
      <c r="E141" s="560"/>
      <c r="F141" s="135"/>
      <c r="G141" s="509"/>
      <c r="H141" s="498"/>
      <c r="I141" s="347"/>
      <c r="J141" s="344"/>
      <c r="K141" s="417"/>
      <c r="L141" s="222"/>
      <c r="M141" s="204"/>
      <c r="N141" s="433"/>
      <c r="O141" s="433"/>
      <c r="P141" s="128"/>
      <c r="Q141" s="128"/>
      <c r="R141" s="128"/>
      <c r="S141" s="1162"/>
      <c r="T141" s="1138" t="s">
        <v>47</v>
      </c>
      <c r="U141" s="1138">
        <f>COUNTIF(D132:D151,"과")</f>
        <v>0</v>
      </c>
      <c r="V141" s="1139">
        <f>COUNTIF(I132:I151,"과")</f>
        <v>0</v>
      </c>
      <c r="W141" s="1138" t="s">
        <v>26</v>
      </c>
      <c r="X141" s="1138">
        <f>SUMIF(D132:D151,"과",F132:F151)</f>
        <v>0</v>
      </c>
      <c r="Y141" s="1139">
        <f>SUMIF(I132:I151,"과",K132:K151)</f>
        <v>0</v>
      </c>
      <c r="Z141" s="1164">
        <f>COUNTIF(AJ132:AJ151,"과국")+COUNTIF(AJ132:AJ151,"과공")</f>
        <v>0</v>
      </c>
      <c r="AA141" s="1165">
        <f>COUNTIF(AK132:AK151,"과국")+COUNTIF(AK132:AK151,"과공")</f>
        <v>0</v>
      </c>
      <c r="AB141" s="1164" t="s">
        <v>26</v>
      </c>
      <c r="AC141" s="1164">
        <f>SUMIF(AJ132:AJ151,"과국",F132:F151)+SUMIF(AJ132:AJ151,"과공",F132:F151)</f>
        <v>0</v>
      </c>
      <c r="AD141" s="1165">
        <f>SUMIF(AK132:AK151,"과국",K132:K151)+SUMIF(AK132:AK151,"과공",K132:K151)</f>
        <v>0</v>
      </c>
      <c r="AE141" s="1138">
        <f t="shared" si="26"/>
        <v>0</v>
      </c>
      <c r="AF141" s="1139">
        <f t="shared" si="26"/>
        <v>0</v>
      </c>
      <c r="AG141" s="1138" t="s">
        <v>26</v>
      </c>
      <c r="AH141" s="1138">
        <f t="shared" si="27"/>
        <v>0</v>
      </c>
      <c r="AI141" s="1139">
        <f t="shared" si="27"/>
        <v>0</v>
      </c>
      <c r="AJ141" s="1138" t="str">
        <f t="shared" si="28"/>
        <v/>
      </c>
      <c r="AK141" s="1138" t="str">
        <f t="shared" si="29"/>
        <v/>
      </c>
      <c r="AL141" s="66"/>
      <c r="AM141" s="66"/>
    </row>
    <row r="142" spans="1:39" s="67" customFormat="1" ht="24" customHeight="1" x14ac:dyDescent="0.15">
      <c r="A142" s="160"/>
      <c r="B142" s="222"/>
      <c r="C142" s="222"/>
      <c r="D142" s="222"/>
      <c r="E142" s="560"/>
      <c r="F142" s="135"/>
      <c r="G142" s="509"/>
      <c r="H142" s="492"/>
      <c r="I142" s="492"/>
      <c r="J142" s="493"/>
      <c r="K142" s="493"/>
      <c r="L142" s="204"/>
      <c r="M142" s="204"/>
      <c r="N142" s="433"/>
      <c r="O142" s="433"/>
      <c r="P142" s="128"/>
      <c r="Q142" s="128"/>
      <c r="R142" s="128"/>
      <c r="S142" s="1162"/>
      <c r="T142" s="1138" t="s">
        <v>36</v>
      </c>
      <c r="U142" s="1138">
        <f>COUNTIF(D132:D151,"묘")</f>
        <v>0</v>
      </c>
      <c r="V142" s="1139">
        <f>COUNTIF(I132:I151,"묘")</f>
        <v>0</v>
      </c>
      <c r="W142" s="1138" t="s">
        <v>26</v>
      </c>
      <c r="X142" s="1138">
        <f>SUMIF(D132:D151,"묘",F132:F151)</f>
        <v>0</v>
      </c>
      <c r="Y142" s="1139">
        <f>SUMIF(I132:I151,"묘",K132:K151)</f>
        <v>0</v>
      </c>
      <c r="Z142" s="1164">
        <f>COUNTIF(AJ132:AJ151,"묘국")+COUNTIF(AJ132:AJ151,"묘공")</f>
        <v>0</v>
      </c>
      <c r="AA142" s="1165">
        <f>COUNTIF(AK132:AK151,"묘국")+COUNTIF(AK132:AK151,"묘공")</f>
        <v>0</v>
      </c>
      <c r="AB142" s="1164" t="s">
        <v>26</v>
      </c>
      <c r="AC142" s="1164">
        <f>SUMIF(AJ132:AJ151,"묘국",F132:F151)+SUMIF(AJ132:AJ151,"묘공",F132:F151)</f>
        <v>0</v>
      </c>
      <c r="AD142" s="1165">
        <f>SUMIF(AK132:AK151,"묘국",K132:K151)+SUMIF(AK132:AK151,"묘공",K132:K151)</f>
        <v>0</v>
      </c>
      <c r="AE142" s="1138">
        <f t="shared" si="26"/>
        <v>0</v>
      </c>
      <c r="AF142" s="1139">
        <f t="shared" si="26"/>
        <v>0</v>
      </c>
      <c r="AG142" s="1138" t="s">
        <v>26</v>
      </c>
      <c r="AH142" s="1138">
        <f t="shared" si="27"/>
        <v>0</v>
      </c>
      <c r="AI142" s="1139">
        <f t="shared" si="27"/>
        <v>0</v>
      </c>
      <c r="AJ142" s="1138" t="str">
        <f t="shared" si="28"/>
        <v/>
      </c>
      <c r="AK142" s="1138" t="str">
        <f t="shared" si="29"/>
        <v/>
      </c>
      <c r="AL142" s="66"/>
      <c r="AM142" s="66"/>
    </row>
    <row r="143" spans="1:39" s="67" customFormat="1" ht="24" customHeight="1" x14ac:dyDescent="0.15">
      <c r="A143" s="160"/>
      <c r="B143" s="222"/>
      <c r="C143" s="222"/>
      <c r="D143" s="222"/>
      <c r="E143" s="560"/>
      <c r="F143" s="135"/>
      <c r="G143" s="509"/>
      <c r="H143" s="346"/>
      <c r="I143" s="346"/>
      <c r="J143" s="493"/>
      <c r="K143" s="493"/>
      <c r="L143" s="222"/>
      <c r="M143" s="204"/>
      <c r="N143" s="433"/>
      <c r="O143" s="433"/>
      <c r="P143" s="128"/>
      <c r="Q143" s="128"/>
      <c r="R143" s="128"/>
      <c r="S143" s="1162"/>
      <c r="T143" s="1138" t="s">
        <v>39</v>
      </c>
      <c r="U143" s="1138">
        <f>COUNTIF(D132:D151,"수")</f>
        <v>0</v>
      </c>
      <c r="V143" s="1139">
        <f>COUNTIF(I132:I151,"수")</f>
        <v>0</v>
      </c>
      <c r="W143" s="1138" t="s">
        <v>26</v>
      </c>
      <c r="X143" s="1138">
        <f>SUMIF(D132:D151,"수",F132:F151)</f>
        <v>0</v>
      </c>
      <c r="Y143" s="1139">
        <f>SUMIF(I132:I151,"수",K132:K151)</f>
        <v>0</v>
      </c>
      <c r="Z143" s="1164">
        <f>COUNTIF(AJ132:AJ151,"수국")+COUNTIF(AJ132:AJ151,"수공")</f>
        <v>0</v>
      </c>
      <c r="AA143" s="1165">
        <f>COUNTIF(AK132:AK151,"수국")+COUNTIF(AK132:AK151,"수공")</f>
        <v>0</v>
      </c>
      <c r="AB143" s="1164" t="s">
        <v>26</v>
      </c>
      <c r="AC143" s="1164">
        <f>SUMIF(AJ132:AJ151,"수국",F132:F151)+SUMIF(AJ132:AJ151,"수공",F132:F151)</f>
        <v>0</v>
      </c>
      <c r="AD143" s="1165">
        <f>SUMIF(AK132:AK151,"수국",K132:K151)+SUMIF(AK132:AK151,"수공",K132:K151)</f>
        <v>0</v>
      </c>
      <c r="AE143" s="1138">
        <f t="shared" si="26"/>
        <v>0</v>
      </c>
      <c r="AF143" s="1139">
        <f t="shared" si="26"/>
        <v>0</v>
      </c>
      <c r="AG143" s="1138" t="s">
        <v>26</v>
      </c>
      <c r="AH143" s="1138">
        <f t="shared" si="27"/>
        <v>0</v>
      </c>
      <c r="AI143" s="1139">
        <f t="shared" si="27"/>
        <v>0</v>
      </c>
      <c r="AJ143" s="1138" t="str">
        <f t="shared" si="28"/>
        <v/>
      </c>
      <c r="AK143" s="1138" t="str">
        <f t="shared" si="29"/>
        <v/>
      </c>
      <c r="AL143" s="66"/>
      <c r="AM143" s="66"/>
    </row>
    <row r="144" spans="1:39" s="67" customFormat="1" ht="24" customHeight="1" x14ac:dyDescent="0.15">
      <c r="A144" s="160"/>
      <c r="B144" s="222"/>
      <c r="C144" s="222"/>
      <c r="D144" s="222"/>
      <c r="E144" s="560"/>
      <c r="F144" s="135"/>
      <c r="G144" s="509"/>
      <c r="H144" s="498"/>
      <c r="I144" s="347"/>
      <c r="J144" s="344"/>
      <c r="K144" s="417"/>
      <c r="L144" s="222"/>
      <c r="M144" s="204"/>
      <c r="N144" s="226"/>
      <c r="O144" s="433"/>
      <c r="P144" s="467"/>
      <c r="Q144" s="1163"/>
      <c r="R144" s="467"/>
      <c r="S144" s="1162"/>
      <c r="T144" s="1138" t="s">
        <v>35</v>
      </c>
      <c r="U144" s="1138">
        <f>COUNTIF(D132:D151,"잡")</f>
        <v>0</v>
      </c>
      <c r="V144" s="1139">
        <f>COUNTIF(I132:I151,"잡")</f>
        <v>0</v>
      </c>
      <c r="W144" s="1138" t="s">
        <v>26</v>
      </c>
      <c r="X144" s="1138">
        <f>SUMIF(D132:D151,"잡",F132:F151)</f>
        <v>0</v>
      </c>
      <c r="Y144" s="1139">
        <f>SUMIF(I132:I151,"잡",K132:K151)</f>
        <v>0</v>
      </c>
      <c r="Z144" s="1164">
        <f>COUNTIF(AJ132:AJ151,"잡국")+COUNTIF(AJ132:AJ151,"잡공")</f>
        <v>0</v>
      </c>
      <c r="AA144" s="1165">
        <f>COUNTIF(AK132:AK151,"잡국")+COUNTIF(AK132:AK151,"잡공")</f>
        <v>0</v>
      </c>
      <c r="AB144" s="1164" t="s">
        <v>26</v>
      </c>
      <c r="AC144" s="1164">
        <f>SUMIF(AJ132:AJ151,"잡국",F132:F151)+SUMIF(AJ132:AJ151,"잡공",F132:F151)</f>
        <v>0</v>
      </c>
      <c r="AD144" s="1165">
        <f>SUMIF(AK132:AK151,"잡국",K132:K151)+SUMIF(AK132:AK151,"잡공",K132:K151)</f>
        <v>0</v>
      </c>
      <c r="AE144" s="1138">
        <f t="shared" si="26"/>
        <v>0</v>
      </c>
      <c r="AF144" s="1139">
        <f t="shared" si="26"/>
        <v>0</v>
      </c>
      <c r="AG144" s="1138" t="s">
        <v>26</v>
      </c>
      <c r="AH144" s="1138">
        <f t="shared" si="27"/>
        <v>0</v>
      </c>
      <c r="AI144" s="1139">
        <f t="shared" si="27"/>
        <v>0</v>
      </c>
      <c r="AJ144" s="1138" t="str">
        <f t="shared" si="28"/>
        <v/>
      </c>
      <c r="AK144" s="1138" t="str">
        <f t="shared" si="29"/>
        <v/>
      </c>
      <c r="AL144" s="66"/>
      <c r="AM144" s="66"/>
    </row>
    <row r="145" spans="1:39" s="67" customFormat="1" ht="24" customHeight="1" x14ac:dyDescent="0.15">
      <c r="A145" s="160"/>
      <c r="B145" s="222"/>
      <c r="C145" s="222"/>
      <c r="D145" s="133"/>
      <c r="E145" s="560"/>
      <c r="F145" s="135"/>
      <c r="G145" s="509"/>
      <c r="H145" s="498"/>
      <c r="I145" s="347"/>
      <c r="J145" s="344"/>
      <c r="K145" s="493"/>
      <c r="L145" s="222"/>
      <c r="M145" s="204"/>
      <c r="N145" s="433"/>
      <c r="O145" s="433"/>
      <c r="P145" s="128"/>
      <c r="Q145" s="128"/>
      <c r="R145" s="128"/>
      <c r="S145" s="1162"/>
      <c r="T145" s="1138" t="s">
        <v>221</v>
      </c>
      <c r="U145" s="1138">
        <f>COUNTIF(D132:D151,"창")</f>
        <v>0</v>
      </c>
      <c r="V145" s="1139">
        <f>COUNTIF(I132:I151,"창")</f>
        <v>0</v>
      </c>
      <c r="W145" s="1138" t="s">
        <v>26</v>
      </c>
      <c r="X145" s="1138">
        <f>SUMIF(D132:D151,"창",F132:F151)</f>
        <v>0</v>
      </c>
      <c r="Y145" s="1139">
        <f>SUMIF(I132:I151,"창",K132:K151)</f>
        <v>0</v>
      </c>
      <c r="Z145" s="1164">
        <f>COUNTIF(AJ132:AJ151,"창국")+COUNTIF(AJ132:AJ151,"창공")</f>
        <v>0</v>
      </c>
      <c r="AA145" s="1165">
        <f>COUNTIF(AK132:AK151,"창국")+COUNTIF(AK132:AK151,"창공")</f>
        <v>0</v>
      </c>
      <c r="AB145" s="1164" t="s">
        <v>26</v>
      </c>
      <c r="AC145" s="1164">
        <f>SUMIF(AJ132:AJ151,"창국",F132:F151)+SUMIF(AJ132:AJ151,"창공",F132:F151)</f>
        <v>0</v>
      </c>
      <c r="AD145" s="1165">
        <f>SUMIF(AK132:AK151,"창국",K132:K151)+SUMIF(AK132:AK151,"창공",K132:K151)</f>
        <v>0</v>
      </c>
      <c r="AE145" s="1138">
        <f t="shared" si="26"/>
        <v>0</v>
      </c>
      <c r="AF145" s="1139">
        <f t="shared" si="26"/>
        <v>0</v>
      </c>
      <c r="AG145" s="1138" t="s">
        <v>26</v>
      </c>
      <c r="AH145" s="1138">
        <f t="shared" si="27"/>
        <v>0</v>
      </c>
      <c r="AI145" s="1139">
        <f t="shared" si="27"/>
        <v>0</v>
      </c>
      <c r="AJ145" s="1138" t="str">
        <f t="shared" si="28"/>
        <v/>
      </c>
      <c r="AK145" s="1138" t="str">
        <f t="shared" si="29"/>
        <v/>
      </c>
      <c r="AL145" s="66"/>
      <c r="AM145" s="66"/>
    </row>
    <row r="146" spans="1:39" s="67" customFormat="1" ht="24" customHeight="1" x14ac:dyDescent="0.15">
      <c r="A146" s="160"/>
      <c r="B146" s="222"/>
      <c r="C146" s="222"/>
      <c r="D146" s="133"/>
      <c r="E146" s="560"/>
      <c r="F146" s="135"/>
      <c r="G146" s="509"/>
      <c r="H146" s="498"/>
      <c r="I146" s="347"/>
      <c r="J146" s="344"/>
      <c r="K146" s="493"/>
      <c r="L146" s="222"/>
      <c r="M146" s="204"/>
      <c r="N146" s="226"/>
      <c r="O146" s="433"/>
      <c r="P146" s="128"/>
      <c r="Q146" s="128"/>
      <c r="R146" s="128"/>
      <c r="S146" s="1162"/>
      <c r="T146" s="1138" t="s">
        <v>50</v>
      </c>
      <c r="U146" s="1138">
        <f>COUNTIF(D132:D151,"공")</f>
        <v>0</v>
      </c>
      <c r="V146" s="1139">
        <f>COUNTIF(I132:I151,"공")</f>
        <v>0</v>
      </c>
      <c r="W146" s="1138" t="s">
        <v>26</v>
      </c>
      <c r="X146" s="1138">
        <f>SUMIF(D132:D151,"공",F132:F151)</f>
        <v>0</v>
      </c>
      <c r="Y146" s="1139">
        <f>SUMIF(I132:I151,"공",K132:K151)</f>
        <v>0</v>
      </c>
      <c r="Z146" s="1164">
        <f>COUNTIF(AJ132:AJ151,"공국")+COUNTIF(AJ132:AJ151,"공공")</f>
        <v>0</v>
      </c>
      <c r="AA146" s="1165">
        <f>COUNTIF(AK132:AK151,"공국")+COUNTIF(AK132:AK151,"공공")</f>
        <v>0</v>
      </c>
      <c r="AB146" s="1164" t="s">
        <v>26</v>
      </c>
      <c r="AC146" s="1164">
        <f>SUMIF(AJ132:AJ151,"공국",F132:F151)+SUMIF(AJ132:AJ151,"공공",F132:F151)</f>
        <v>0</v>
      </c>
      <c r="AD146" s="1165">
        <f>SUMIF(AK132:AK151,"공국",K132:K151)+SUMIF(AK132:AK151,"공공",K132:K151)</f>
        <v>0</v>
      </c>
      <c r="AE146" s="1138">
        <f t="shared" si="26"/>
        <v>0</v>
      </c>
      <c r="AF146" s="1139">
        <f t="shared" si="26"/>
        <v>0</v>
      </c>
      <c r="AG146" s="1138" t="s">
        <v>26</v>
      </c>
      <c r="AH146" s="1138">
        <f t="shared" si="27"/>
        <v>0</v>
      </c>
      <c r="AI146" s="1139">
        <f t="shared" si="27"/>
        <v>0</v>
      </c>
      <c r="AJ146" s="1138" t="str">
        <f t="shared" si="28"/>
        <v/>
      </c>
      <c r="AK146" s="1138" t="str">
        <f t="shared" si="29"/>
        <v/>
      </c>
      <c r="AL146" s="66"/>
      <c r="AM146" s="66"/>
    </row>
    <row r="147" spans="1:39" s="67" customFormat="1" ht="24" customHeight="1" x14ac:dyDescent="0.15">
      <c r="A147" s="160"/>
      <c r="B147" s="222"/>
      <c r="C147" s="222"/>
      <c r="D147" s="133"/>
      <c r="E147" s="560"/>
      <c r="F147" s="135"/>
      <c r="G147" s="509"/>
      <c r="H147" s="492"/>
      <c r="I147" s="492"/>
      <c r="J147" s="506"/>
      <c r="K147" s="493"/>
      <c r="L147" s="204"/>
      <c r="M147" s="204"/>
      <c r="N147" s="433"/>
      <c r="O147" s="433"/>
      <c r="P147" s="128"/>
      <c r="Q147" s="128"/>
      <c r="R147" s="128"/>
      <c r="S147" s="1162"/>
      <c r="T147" s="1142" t="s">
        <v>219</v>
      </c>
      <c r="U147" s="1138">
        <f>COUNTIF(D132:D151,"주")</f>
        <v>0</v>
      </c>
      <c r="V147" s="1139">
        <f>COUNTIF(I132:I151,"주")</f>
        <v>0</v>
      </c>
      <c r="W147" s="1138" t="s">
        <v>26</v>
      </c>
      <c r="X147" s="1138">
        <f>SUMIF(D132:D151,"주",F132:F151)</f>
        <v>0</v>
      </c>
      <c r="Y147" s="1139">
        <f>SUMIF(I132:I151,"주",K132:K151)</f>
        <v>0</v>
      </c>
      <c r="Z147" s="1164">
        <f>COUNTIF(AJ132:AJ151,"주국")+COUNTIF(AJ132:AJ151,"주공")</f>
        <v>0</v>
      </c>
      <c r="AA147" s="1165">
        <f>COUNTIF(AK132:AK151,"주국")+COUNTIF(AK132:AK151,"주공")</f>
        <v>0</v>
      </c>
      <c r="AB147" s="1164" t="s">
        <v>26</v>
      </c>
      <c r="AC147" s="1164">
        <f>SUMIF(AJ132:AJ151,"주국",F132:F151)+SUMIF(AJ132:AJ151,"주공",F132:F151)</f>
        <v>0</v>
      </c>
      <c r="AD147" s="1165">
        <f>SUMIF(AK132:AK151,"주국",K132:K151)+SUMIF(AK132:AK151,"주공",K132:K151)</f>
        <v>0</v>
      </c>
      <c r="AE147" s="1138">
        <f t="shared" si="26"/>
        <v>0</v>
      </c>
      <c r="AF147" s="1139">
        <f t="shared" si="26"/>
        <v>0</v>
      </c>
      <c r="AG147" s="1138" t="s">
        <v>26</v>
      </c>
      <c r="AH147" s="1138">
        <f t="shared" si="27"/>
        <v>0</v>
      </c>
      <c r="AI147" s="1139">
        <f t="shared" si="27"/>
        <v>0</v>
      </c>
      <c r="AJ147" s="1138" t="str">
        <f t="shared" si="28"/>
        <v/>
      </c>
      <c r="AK147" s="1138" t="str">
        <f t="shared" si="29"/>
        <v/>
      </c>
      <c r="AL147" s="66"/>
      <c r="AM147" s="66"/>
    </row>
    <row r="148" spans="1:39" s="67" customFormat="1" ht="24" customHeight="1" x14ac:dyDescent="0.15">
      <c r="A148" s="160"/>
      <c r="B148" s="222"/>
      <c r="C148" s="222"/>
      <c r="D148" s="133"/>
      <c r="E148" s="560"/>
      <c r="F148" s="135"/>
      <c r="G148" s="509"/>
      <c r="H148" s="492"/>
      <c r="I148" s="492"/>
      <c r="J148" s="417"/>
      <c r="K148" s="417"/>
      <c r="L148" s="204"/>
      <c r="M148" s="204"/>
      <c r="N148" s="433"/>
      <c r="O148" s="433"/>
      <c r="P148" s="128"/>
      <c r="Q148" s="128"/>
      <c r="R148" s="128"/>
      <c r="S148" s="1162"/>
      <c r="T148" s="1142" t="s">
        <v>5</v>
      </c>
      <c r="U148" s="1138">
        <f>COUNTIF(D132:D151,"목")</f>
        <v>1</v>
      </c>
      <c r="V148" s="1139">
        <f>COUNTIF(I132:I151,"목")</f>
        <v>0</v>
      </c>
      <c r="W148" s="1138" t="s">
        <v>26</v>
      </c>
      <c r="X148" s="1138">
        <f>SUMIF(D132:D151,"목",F132:F151)</f>
        <v>9</v>
      </c>
      <c r="Y148" s="1139">
        <f>SUMIF(I132:I151,"목",K132:K151)</f>
        <v>0</v>
      </c>
      <c r="Z148" s="1164">
        <f>COUNTIF(AJ132:AJ151,"목국")+COUNTIF(AJ132:AJ151,"목공")</f>
        <v>0</v>
      </c>
      <c r="AA148" s="1165">
        <f>COUNTIF(AK132:AK151,"목국")+COUNTIF(AK132:AK151,"목공")</f>
        <v>0</v>
      </c>
      <c r="AB148" s="1164" t="s">
        <v>26</v>
      </c>
      <c r="AC148" s="1164">
        <f>SUMIF(AJ132:AJ151,"목국",F132:F151)+SUMIF(AJ132:AJ151,"목공",F132:F151)</f>
        <v>0</v>
      </c>
      <c r="AD148" s="1165">
        <f>SUMIF(AK132:AK151,"목국",K132:K151)+SUMIF(AK132:AK151,"목공",K132:K151)</f>
        <v>0</v>
      </c>
      <c r="AE148" s="1138">
        <f t="shared" si="26"/>
        <v>1</v>
      </c>
      <c r="AF148" s="1139">
        <f t="shared" si="26"/>
        <v>0</v>
      </c>
      <c r="AG148" s="1138" t="s">
        <v>26</v>
      </c>
      <c r="AH148" s="1138">
        <f t="shared" si="27"/>
        <v>9</v>
      </c>
      <c r="AI148" s="1139">
        <f t="shared" si="27"/>
        <v>0</v>
      </c>
      <c r="AJ148" s="1138" t="str">
        <f t="shared" si="28"/>
        <v/>
      </c>
      <c r="AK148" s="1138" t="str">
        <f t="shared" si="29"/>
        <v/>
      </c>
      <c r="AL148" s="66"/>
      <c r="AM148" s="66"/>
    </row>
    <row r="149" spans="1:39" s="67" customFormat="1" ht="24" customHeight="1" x14ac:dyDescent="0.15">
      <c r="A149" s="160"/>
      <c r="B149" s="222"/>
      <c r="C149" s="223"/>
      <c r="D149" s="222"/>
      <c r="E149" s="560"/>
      <c r="F149" s="135"/>
      <c r="G149" s="509"/>
      <c r="H149" s="498"/>
      <c r="I149" s="347"/>
      <c r="J149" s="344"/>
      <c r="K149" s="417"/>
      <c r="L149" s="204"/>
      <c r="M149" s="204"/>
      <c r="N149" s="433"/>
      <c r="O149" s="433"/>
      <c r="P149" s="1172"/>
      <c r="Q149" s="1163"/>
      <c r="R149" s="1172"/>
      <c r="S149" s="1162"/>
      <c r="T149" s="1142"/>
      <c r="U149" s="1142"/>
      <c r="V149" s="1143"/>
      <c r="W149" s="1142"/>
      <c r="X149" s="1142"/>
      <c r="Y149" s="1143"/>
      <c r="Z149" s="1164"/>
      <c r="AA149" s="1165"/>
      <c r="AB149" s="1173"/>
      <c r="AC149" s="1164"/>
      <c r="AD149" s="1165"/>
      <c r="AE149" s="1142"/>
      <c r="AF149" s="1143"/>
      <c r="AG149" s="1142"/>
      <c r="AH149" s="1142"/>
      <c r="AI149" s="1143"/>
      <c r="AJ149" s="1138" t="str">
        <f t="shared" si="28"/>
        <v/>
      </c>
      <c r="AK149" s="1138" t="str">
        <f t="shared" si="29"/>
        <v/>
      </c>
      <c r="AL149" s="66"/>
      <c r="AM149" s="66"/>
    </row>
    <row r="150" spans="1:39" s="67" customFormat="1" ht="24" customHeight="1" x14ac:dyDescent="0.15">
      <c r="A150" s="160"/>
      <c r="B150" s="222"/>
      <c r="C150" s="222"/>
      <c r="D150" s="222"/>
      <c r="E150" s="560"/>
      <c r="F150" s="135"/>
      <c r="G150" s="509"/>
      <c r="H150" s="347"/>
      <c r="I150" s="492"/>
      <c r="J150" s="506"/>
      <c r="K150" s="493"/>
      <c r="L150" s="222"/>
      <c r="M150" s="204"/>
      <c r="N150" s="226"/>
      <c r="O150" s="433"/>
      <c r="P150" s="128"/>
      <c r="Q150" s="128"/>
      <c r="R150" s="128"/>
      <c r="S150" s="1162"/>
      <c r="T150" s="1142"/>
      <c r="U150" s="1142"/>
      <c r="V150" s="1143"/>
      <c r="W150" s="1142"/>
      <c r="X150" s="1142"/>
      <c r="Y150" s="1143"/>
      <c r="Z150" s="1164"/>
      <c r="AA150" s="1165"/>
      <c r="AB150" s="1173"/>
      <c r="AC150" s="1164"/>
      <c r="AD150" s="1165"/>
      <c r="AE150" s="1142"/>
      <c r="AF150" s="1143"/>
      <c r="AG150" s="1142"/>
      <c r="AH150" s="1142"/>
      <c r="AI150" s="1143"/>
      <c r="AJ150" s="1138" t="str">
        <f t="shared" si="28"/>
        <v/>
      </c>
      <c r="AK150" s="1138" t="str">
        <f t="shared" si="29"/>
        <v/>
      </c>
      <c r="AL150" s="66"/>
      <c r="AM150" s="66"/>
    </row>
    <row r="151" spans="1:39" s="67" customFormat="1" ht="24" customHeight="1" x14ac:dyDescent="0.15">
      <c r="A151" s="160"/>
      <c r="B151" s="222"/>
      <c r="C151" s="223"/>
      <c r="D151" s="222"/>
      <c r="E151" s="560"/>
      <c r="F151" s="560"/>
      <c r="G151" s="509"/>
      <c r="H151" s="498"/>
      <c r="I151" s="347"/>
      <c r="J151" s="344"/>
      <c r="K151" s="417"/>
      <c r="L151" s="222"/>
      <c r="M151" s="204"/>
      <c r="N151" s="226"/>
      <c r="O151" s="433"/>
      <c r="P151" s="128"/>
      <c r="Q151" s="128"/>
      <c r="R151" s="128"/>
      <c r="S151" s="1162"/>
      <c r="T151" s="1144" t="s">
        <v>37</v>
      </c>
      <c r="U151" s="1144">
        <f>COUNTIF(D132:D151,"철")</f>
        <v>0</v>
      </c>
      <c r="V151" s="1145">
        <f>COUNTIF(I132:I151,"철")</f>
        <v>0</v>
      </c>
      <c r="W151" s="1144" t="s">
        <v>26</v>
      </c>
      <c r="X151" s="1144">
        <f>SUMIF(D132:D151,"철",F132:F151)</f>
        <v>0</v>
      </c>
      <c r="Y151" s="1145">
        <f>SUMIF(I132:I151,"철",K132:K151)</f>
        <v>0</v>
      </c>
      <c r="Z151" s="1164">
        <f>COUNTIF(AJ132:AJ151,"철국")+COUNTIF(AJ132:AJ151,"철공")</f>
        <v>0</v>
      </c>
      <c r="AA151" s="1165">
        <f>COUNTIF(AK132:AK151,"철국")+COUNTIF(AK132:AK151,"철공")</f>
        <v>0</v>
      </c>
      <c r="AB151" s="1174" t="s">
        <v>26</v>
      </c>
      <c r="AC151" s="1164">
        <f>SUMIF(AJ132:AJ151,"철국",F132:F151)+SUMIF(AJ132:AJ151,"철공",F132:F151)</f>
        <v>0</v>
      </c>
      <c r="AD151" s="1165">
        <f>SUMIF(AK132:AK151,"철국",K132:K151)+SUMIF(AK132:AK151,"철공",K132:K151)</f>
        <v>0</v>
      </c>
      <c r="AE151" s="1144"/>
      <c r="AF151" s="1145"/>
      <c r="AG151" s="1144"/>
      <c r="AH151" s="1144"/>
      <c r="AI151" s="1145"/>
      <c r="AJ151" s="1138" t="str">
        <f t="shared" si="28"/>
        <v/>
      </c>
      <c r="AK151" s="1138" t="str">
        <f t="shared" si="29"/>
        <v/>
      </c>
      <c r="AL151" s="66"/>
      <c r="AM151" s="66"/>
    </row>
    <row r="152" spans="1:39" s="57" customFormat="1" ht="24" customHeight="1" thickBot="1" x14ac:dyDescent="0.2">
      <c r="A152" s="1146" t="s">
        <v>48</v>
      </c>
      <c r="B152" s="1147"/>
      <c r="C152" s="1147"/>
      <c r="D152" s="1147"/>
      <c r="E152" s="1147"/>
      <c r="F152" s="1148">
        <f>SUM(F132:F151)</f>
        <v>808</v>
      </c>
      <c r="G152" s="1149"/>
      <c r="H152" s="1149"/>
      <c r="I152" s="1150"/>
      <c r="J152" s="1158"/>
      <c r="K152" s="1159">
        <f>SUM(K132:K151)</f>
        <v>0</v>
      </c>
      <c r="L152" s="1153"/>
      <c r="M152" s="1153"/>
      <c r="N152" s="1154"/>
      <c r="O152" s="1154"/>
      <c r="P152" s="1153"/>
      <c r="Q152" s="1153"/>
      <c r="R152" s="1153"/>
      <c r="S152" s="1155"/>
      <c r="T152" s="1156" t="s">
        <v>24</v>
      </c>
      <c r="U152" s="1157">
        <f t="shared" ref="U152:AA152" si="30">SUM(U132:U151)</f>
        <v>5</v>
      </c>
      <c r="V152" s="1157">
        <f t="shared" si="30"/>
        <v>0</v>
      </c>
      <c r="W152" s="1157">
        <f t="shared" si="30"/>
        <v>0</v>
      </c>
      <c r="X152" s="1157">
        <f t="shared" si="30"/>
        <v>808</v>
      </c>
      <c r="Y152" s="1157">
        <f t="shared" si="30"/>
        <v>0</v>
      </c>
      <c r="Z152" s="1164">
        <f t="shared" si="30"/>
        <v>0</v>
      </c>
      <c r="AA152" s="1165">
        <f t="shared" si="30"/>
        <v>0</v>
      </c>
      <c r="AB152" s="1164" t="s">
        <v>26</v>
      </c>
      <c r="AC152" s="1164">
        <f>SUM(AC132:AC151)</f>
        <v>0</v>
      </c>
      <c r="AD152" s="1165">
        <f>SUM(AD132:AD151)</f>
        <v>0</v>
      </c>
      <c r="AE152" s="1157">
        <f>SUM(AE132:AE151)</f>
        <v>5</v>
      </c>
      <c r="AF152" s="1157">
        <f>SUM(AF132:AF151)</f>
        <v>0</v>
      </c>
      <c r="AG152" s="1157" t="s">
        <v>26</v>
      </c>
      <c r="AH152" s="1157">
        <f>SUM(AH132:AH151)</f>
        <v>808</v>
      </c>
      <c r="AI152" s="1157">
        <f>SUM(AI132:AI151)</f>
        <v>0</v>
      </c>
      <c r="AJ152" s="1157"/>
      <c r="AK152" s="1138" t="str">
        <f t="shared" si="29"/>
        <v/>
      </c>
    </row>
    <row r="153" spans="1:39" s="67" customFormat="1" ht="24" hidden="1" customHeight="1" x14ac:dyDescent="0.15">
      <c r="A153" s="159">
        <v>141</v>
      </c>
      <c r="B153" s="1160"/>
      <c r="C153" s="223"/>
      <c r="D153" s="222"/>
      <c r="E153" s="560"/>
      <c r="F153" s="135"/>
      <c r="G153" s="509"/>
      <c r="H153" s="498"/>
      <c r="I153" s="347"/>
      <c r="J153" s="344"/>
      <c r="K153" s="417"/>
      <c r="L153" s="222"/>
      <c r="M153" s="204"/>
      <c r="N153" s="226"/>
      <c r="O153" s="433"/>
      <c r="P153" s="144"/>
      <c r="Q153" s="144"/>
      <c r="R153" s="144"/>
      <c r="S153" s="1161"/>
      <c r="T153" s="1138" t="s">
        <v>27</v>
      </c>
      <c r="U153" s="1138">
        <f>COUNTIF(D153:D172,"전")</f>
        <v>0</v>
      </c>
      <c r="V153" s="1139">
        <f>COUNTIF(I153:I172,"전")</f>
        <v>0</v>
      </c>
      <c r="W153" s="1138" t="s">
        <v>26</v>
      </c>
      <c r="X153" s="1138">
        <f>SUMIF(D153:D172,"전",F153:F172)</f>
        <v>0</v>
      </c>
      <c r="Y153" s="1139">
        <f>SUMIF(I153:I172,"전",K153:K172)</f>
        <v>0</v>
      </c>
      <c r="Z153" s="1164">
        <f>COUNTIF(AJ153:AJ172,"전국")+COUNTIF(AJ153:AJ172,"전공")</f>
        <v>0</v>
      </c>
      <c r="AA153" s="1165">
        <f>COUNTIF(AK153:AK172,"전국")+COUNTIF(AK153:AK172,"전공")</f>
        <v>0</v>
      </c>
      <c r="AB153" s="1164" t="s">
        <v>26</v>
      </c>
      <c r="AC153" s="1164">
        <f>SUMIF(AJ153:AJ172,"전국",F153:F172)+SUMIF(AJ153:AJ172,"전공",F153:F172)</f>
        <v>0</v>
      </c>
      <c r="AD153" s="1165">
        <f>SUMIF(AK153:AK172,"전국",K153:K172)+SUMIF(AK153:AK172,"전공",K153:K172)</f>
        <v>0</v>
      </c>
      <c r="AE153" s="1138">
        <f t="shared" ref="AE153:AF169" si="31">U153-Z153</f>
        <v>0</v>
      </c>
      <c r="AF153" s="1139">
        <f t="shared" si="31"/>
        <v>0</v>
      </c>
      <c r="AG153" s="1138" t="s">
        <v>26</v>
      </c>
      <c r="AH153" s="1138">
        <f t="shared" ref="AH153:AI169" si="32">X153-AC153</f>
        <v>0</v>
      </c>
      <c r="AI153" s="1139">
        <f t="shared" si="32"/>
        <v>0</v>
      </c>
      <c r="AJ153" s="1138" t="str">
        <f t="shared" ref="AJ153:AJ172" si="33">CONCATENATE(D153,L153)</f>
        <v/>
      </c>
      <c r="AK153" s="1138" t="str">
        <f t="shared" si="29"/>
        <v/>
      </c>
    </row>
    <row r="154" spans="1:39" s="67" customFormat="1" ht="24" hidden="1" customHeight="1" x14ac:dyDescent="0.15">
      <c r="A154" s="160">
        <v>142</v>
      </c>
      <c r="B154" s="222"/>
      <c r="C154" s="223"/>
      <c r="D154" s="222"/>
      <c r="E154" s="560"/>
      <c r="F154" s="135"/>
      <c r="G154" s="509"/>
      <c r="H154" s="492"/>
      <c r="I154" s="492"/>
      <c r="J154" s="344"/>
      <c r="K154" s="507"/>
      <c r="L154" s="222"/>
      <c r="M154" s="204"/>
      <c r="N154" s="226"/>
      <c r="O154" s="433"/>
      <c r="P154" s="128"/>
      <c r="Q154" s="128"/>
      <c r="R154" s="128"/>
      <c r="S154" s="1162"/>
      <c r="T154" s="1138" t="s">
        <v>28</v>
      </c>
      <c r="U154" s="1138">
        <f>COUNTIF(D153:D172,"답")</f>
        <v>0</v>
      </c>
      <c r="V154" s="1139">
        <f>COUNTIF(I153:I172,"답")</f>
        <v>0</v>
      </c>
      <c r="W154" s="1138" t="s">
        <v>26</v>
      </c>
      <c r="X154" s="1138">
        <f>SUMIF(D153:D172,"답",F153:F172)</f>
        <v>0</v>
      </c>
      <c r="Y154" s="1139">
        <f>SUMIF(I153:I172,"답",K153:K172)</f>
        <v>0</v>
      </c>
      <c r="Z154" s="1164">
        <f>COUNTIF(AJ153:AJ172,"답국")+COUNTIF(AJ153:AJ172,"답공")</f>
        <v>0</v>
      </c>
      <c r="AA154" s="1165">
        <f>COUNTIF(AK153:AK172,"답국")+COUNTIF(AK153:AK172,"답공")</f>
        <v>0</v>
      </c>
      <c r="AB154" s="1164" t="s">
        <v>26</v>
      </c>
      <c r="AC154" s="1164">
        <f>SUMIF(AJ153:AJ172,"답국",F153:F172)+SUMIF(AJ153:AJ172,"답공",F153:F172)</f>
        <v>0</v>
      </c>
      <c r="AD154" s="1165">
        <f>SUMIF(AK153:AK172,"답국",K153:K172)+SUMIF(AK153:AK172,"답공",K153:K172)</f>
        <v>0</v>
      </c>
      <c r="AE154" s="1138">
        <f t="shared" si="31"/>
        <v>0</v>
      </c>
      <c r="AF154" s="1139">
        <f t="shared" si="31"/>
        <v>0</v>
      </c>
      <c r="AG154" s="1138" t="s">
        <v>26</v>
      </c>
      <c r="AH154" s="1138">
        <f t="shared" si="32"/>
        <v>0</v>
      </c>
      <c r="AI154" s="1139">
        <f t="shared" si="32"/>
        <v>0</v>
      </c>
      <c r="AJ154" s="1138" t="str">
        <f t="shared" si="33"/>
        <v/>
      </c>
      <c r="AK154" s="1138" t="str">
        <f t="shared" si="29"/>
        <v/>
      </c>
    </row>
    <row r="155" spans="1:39" s="67" customFormat="1" ht="24" hidden="1" customHeight="1" x14ac:dyDescent="0.15">
      <c r="A155" s="160">
        <v>143</v>
      </c>
      <c r="B155" s="222"/>
      <c r="C155" s="222"/>
      <c r="D155" s="222"/>
      <c r="E155" s="560"/>
      <c r="F155" s="135"/>
      <c r="G155" s="509"/>
      <c r="H155" s="494"/>
      <c r="I155" s="492"/>
      <c r="J155" s="344"/>
      <c r="K155" s="507"/>
      <c r="L155" s="222"/>
      <c r="M155" s="204"/>
      <c r="N155" s="226"/>
      <c r="O155" s="433"/>
      <c r="P155" s="128"/>
      <c r="Q155" s="128"/>
      <c r="R155" s="128"/>
      <c r="S155" s="1162"/>
      <c r="T155" s="1138" t="s">
        <v>44</v>
      </c>
      <c r="U155" s="1138">
        <f>COUNTIF(D153:D172,"임")</f>
        <v>0</v>
      </c>
      <c r="V155" s="1139">
        <f>COUNTIF(I153:I172,"임")</f>
        <v>0</v>
      </c>
      <c r="W155" s="1138" t="s">
        <v>26</v>
      </c>
      <c r="X155" s="1138">
        <f>SUMIF(D153:D172,"임",F153:F172)</f>
        <v>0</v>
      </c>
      <c r="Y155" s="1139">
        <f>SUMIF(I153:I172,"임",K153:K172)</f>
        <v>0</v>
      </c>
      <c r="Z155" s="1164">
        <f>COUNTIF(AJ153:AJ172,"임국")+COUNTIF(AJ153:AJ172,"임공")</f>
        <v>0</v>
      </c>
      <c r="AA155" s="1165">
        <f>COUNTIF(AK153:AK172,"임국")+COUNTIF(AK153:AK172,"임공")</f>
        <v>0</v>
      </c>
      <c r="AB155" s="1164" t="s">
        <v>26</v>
      </c>
      <c r="AC155" s="1164">
        <f>SUMIF(AJ153:AJ172,"임국",F153:F172)+SUMIF(AJ153:AJ172,"임공",F153:F172)</f>
        <v>0</v>
      </c>
      <c r="AD155" s="1165">
        <f>SUMIF(AK153:AK172,"임국",K153:K172)+SUMIF(AK153:AK172,"임공",K153:K172)</f>
        <v>0</v>
      </c>
      <c r="AE155" s="1138">
        <f t="shared" si="31"/>
        <v>0</v>
      </c>
      <c r="AF155" s="1139">
        <f t="shared" si="31"/>
        <v>0</v>
      </c>
      <c r="AG155" s="1138" t="s">
        <v>26</v>
      </c>
      <c r="AH155" s="1138">
        <f t="shared" si="32"/>
        <v>0</v>
      </c>
      <c r="AI155" s="1139">
        <f t="shared" si="32"/>
        <v>0</v>
      </c>
      <c r="AJ155" s="1138" t="str">
        <f t="shared" si="33"/>
        <v/>
      </c>
      <c r="AK155" s="1138" t="str">
        <f t="shared" si="29"/>
        <v/>
      </c>
      <c r="AL155" s="66"/>
      <c r="AM155" s="66"/>
    </row>
    <row r="156" spans="1:39" s="67" customFormat="1" ht="24" hidden="1" customHeight="1" x14ac:dyDescent="0.15">
      <c r="A156" s="160">
        <v>144</v>
      </c>
      <c r="B156" s="222"/>
      <c r="C156" s="222"/>
      <c r="D156" s="222"/>
      <c r="E156" s="560"/>
      <c r="F156" s="135"/>
      <c r="G156" s="509"/>
      <c r="H156" s="492"/>
      <c r="I156" s="492"/>
      <c r="J156" s="344"/>
      <c r="K156" s="507"/>
      <c r="L156" s="222"/>
      <c r="M156" s="204"/>
      <c r="N156" s="226"/>
      <c r="O156" s="433"/>
      <c r="P156" s="128"/>
      <c r="Q156" s="128"/>
      <c r="R156" s="128"/>
      <c r="S156" s="1162"/>
      <c r="T156" s="1138" t="s">
        <v>45</v>
      </c>
      <c r="U156" s="1138">
        <f>COUNTIF(D153:D172,"대")</f>
        <v>0</v>
      </c>
      <c r="V156" s="1139">
        <f>COUNTIF(I153:I172,"대")</f>
        <v>0</v>
      </c>
      <c r="W156" s="1138" t="s">
        <v>26</v>
      </c>
      <c r="X156" s="1138">
        <f>SUMIF(D153:D172,"대",F153:F172)</f>
        <v>0</v>
      </c>
      <c r="Y156" s="1139">
        <f>SUMIF(I153:I172,"대",K153:K172)</f>
        <v>0</v>
      </c>
      <c r="Z156" s="1164">
        <f>COUNTIF(AJ153:AJ172,"대국")+COUNTIF(AJ153:AJ172,"대공")</f>
        <v>0</v>
      </c>
      <c r="AA156" s="1165">
        <f>COUNTIF(AK153:AK172,"대국")+COUNTIF(AK153:AK172,"대공")</f>
        <v>0</v>
      </c>
      <c r="AB156" s="1164" t="s">
        <v>26</v>
      </c>
      <c r="AC156" s="1164">
        <f>SUMIF(AJ153:AJ172,"대국",F153:F172)+SUMIF(AJ153:AJ172,"대공",F153:F172)</f>
        <v>0</v>
      </c>
      <c r="AD156" s="1165">
        <f>SUMIF(AK153:AK172,"대국",K153:K172)+SUMIF(AK153:AK172,"대공",K153:K172)</f>
        <v>0</v>
      </c>
      <c r="AE156" s="1138">
        <f t="shared" si="31"/>
        <v>0</v>
      </c>
      <c r="AF156" s="1139">
        <f t="shared" si="31"/>
        <v>0</v>
      </c>
      <c r="AG156" s="1138" t="s">
        <v>26</v>
      </c>
      <c r="AH156" s="1138">
        <f t="shared" si="32"/>
        <v>0</v>
      </c>
      <c r="AI156" s="1139">
        <f t="shared" si="32"/>
        <v>0</v>
      </c>
      <c r="AJ156" s="1138" t="str">
        <f t="shared" si="33"/>
        <v/>
      </c>
      <c r="AK156" s="1138" t="str">
        <f t="shared" si="29"/>
        <v/>
      </c>
      <c r="AL156" s="66"/>
      <c r="AM156" s="66"/>
    </row>
    <row r="157" spans="1:39" s="67" customFormat="1" ht="24" hidden="1" customHeight="1" x14ac:dyDescent="0.15">
      <c r="A157" s="160">
        <v>145</v>
      </c>
      <c r="B157" s="222"/>
      <c r="C157" s="222"/>
      <c r="D157" s="222"/>
      <c r="E157" s="560"/>
      <c r="F157" s="135"/>
      <c r="G157" s="509"/>
      <c r="H157" s="492"/>
      <c r="I157" s="492"/>
      <c r="J157" s="344"/>
      <c r="K157" s="507"/>
      <c r="L157" s="222"/>
      <c r="M157" s="204"/>
      <c r="N157" s="226"/>
      <c r="O157" s="433"/>
      <c r="P157" s="128"/>
      <c r="Q157" s="128"/>
      <c r="R157" s="128"/>
      <c r="S157" s="1162"/>
      <c r="T157" s="1138" t="s">
        <v>31</v>
      </c>
      <c r="U157" s="1138">
        <f>COUNTIF(D153:D172,"도")</f>
        <v>0</v>
      </c>
      <c r="V157" s="1139">
        <f>COUNTIF(I153:I172,"도")</f>
        <v>0</v>
      </c>
      <c r="W157" s="1138" t="s">
        <v>26</v>
      </c>
      <c r="X157" s="1138">
        <f>SUMIF(D153:D172,"도",F153:F172)</f>
        <v>0</v>
      </c>
      <c r="Y157" s="1139">
        <f>SUMIF(I153:I172,"도",K153:K172)</f>
        <v>0</v>
      </c>
      <c r="Z157" s="1164">
        <f>COUNTIF(AJ153:AJ172,"도국")+COUNTIF(AJ153:AJ172,"도공")</f>
        <v>0</v>
      </c>
      <c r="AA157" s="1165">
        <f>COUNTIF(AK153:AK172,"도국")+COUNTIF(AK153:AK172,"도공")</f>
        <v>0</v>
      </c>
      <c r="AB157" s="1164" t="s">
        <v>26</v>
      </c>
      <c r="AC157" s="1164">
        <f>SUMIF(AJ153:AJ172,"도국",F153:F172)+SUMIF(AJ153:AJ172,"도공",F153:F172)</f>
        <v>0</v>
      </c>
      <c r="AD157" s="1165">
        <f>SUMIF(AK153:AK172,"도국",K153:K172)+SUMIF(AK153:AK172,"도공",K153:K172)</f>
        <v>0</v>
      </c>
      <c r="AE157" s="1138">
        <f t="shared" si="31"/>
        <v>0</v>
      </c>
      <c r="AF157" s="1139">
        <f t="shared" si="31"/>
        <v>0</v>
      </c>
      <c r="AG157" s="1138" t="s">
        <v>26</v>
      </c>
      <c r="AH157" s="1138">
        <f t="shared" si="32"/>
        <v>0</v>
      </c>
      <c r="AI157" s="1139">
        <f t="shared" si="32"/>
        <v>0</v>
      </c>
      <c r="AJ157" s="1138" t="str">
        <f t="shared" si="33"/>
        <v/>
      </c>
      <c r="AK157" s="1138" t="str">
        <f t="shared" si="29"/>
        <v/>
      </c>
      <c r="AL157" s="66"/>
      <c r="AM157" s="66"/>
    </row>
    <row r="158" spans="1:39" s="67" customFormat="1" ht="24" hidden="1" customHeight="1" x14ac:dyDescent="0.15">
      <c r="A158" s="160">
        <v>146</v>
      </c>
      <c r="B158" s="222"/>
      <c r="C158" s="222"/>
      <c r="D158" s="222"/>
      <c r="E158" s="560"/>
      <c r="F158" s="135"/>
      <c r="G158" s="509"/>
      <c r="H158" s="492"/>
      <c r="I158" s="492"/>
      <c r="J158" s="344"/>
      <c r="K158" s="507"/>
      <c r="L158" s="222"/>
      <c r="M158" s="204"/>
      <c r="N158" s="226"/>
      <c r="O158" s="433"/>
      <c r="P158" s="128"/>
      <c r="Q158" s="128"/>
      <c r="R158" s="128"/>
      <c r="S158" s="1162"/>
      <c r="T158" s="1138" t="s">
        <v>32</v>
      </c>
      <c r="U158" s="1140">
        <f>COUNTIF(D153:D172,"천")</f>
        <v>0</v>
      </c>
      <c r="V158" s="1141">
        <f>COUNTIF(I153:I172,"천")</f>
        <v>0</v>
      </c>
      <c r="W158" s="1138" t="s">
        <v>26</v>
      </c>
      <c r="X158" s="1138">
        <f>SUMIF(D153:D172,"천",F153:F172)</f>
        <v>0</v>
      </c>
      <c r="Y158" s="1139">
        <f>SUMIF(I153:I172,"천",K153:K172)</f>
        <v>0</v>
      </c>
      <c r="Z158" s="1164">
        <f>COUNTIF(AJ153:AJ172,"천국")+COUNTIF(AJ153:AJ172,"천공")</f>
        <v>0</v>
      </c>
      <c r="AA158" s="1165">
        <f>COUNTIF(AK153:AK172,"천국")+COUNTIF(AK153:AK172,"천공")</f>
        <v>0</v>
      </c>
      <c r="AB158" s="1164" t="s">
        <v>26</v>
      </c>
      <c r="AC158" s="1164">
        <f>SUMIF(AJ153:AJ172,"천국",F153:F172)+SUMIF(AJ153:AJ172,"천공",F153:F172)</f>
        <v>0</v>
      </c>
      <c r="AD158" s="1165">
        <f>SUMIF(AK153:AK172,"천국",K153:K172)+SUMIF(AK153:AK172,"천공",K153:K172)</f>
        <v>0</v>
      </c>
      <c r="AE158" s="1138">
        <f t="shared" si="31"/>
        <v>0</v>
      </c>
      <c r="AF158" s="1139">
        <f t="shared" si="31"/>
        <v>0</v>
      </c>
      <c r="AG158" s="1138" t="s">
        <v>26</v>
      </c>
      <c r="AH158" s="1138">
        <f t="shared" si="32"/>
        <v>0</v>
      </c>
      <c r="AI158" s="1139">
        <f t="shared" si="32"/>
        <v>0</v>
      </c>
      <c r="AJ158" s="1138" t="str">
        <f t="shared" si="33"/>
        <v/>
      </c>
      <c r="AK158" s="1138" t="str">
        <f t="shared" si="29"/>
        <v/>
      </c>
      <c r="AL158" s="66"/>
      <c r="AM158" s="66"/>
    </row>
    <row r="159" spans="1:39" s="67" customFormat="1" ht="24" hidden="1" customHeight="1" x14ac:dyDescent="0.15">
      <c r="A159" s="160">
        <v>147</v>
      </c>
      <c r="B159" s="222"/>
      <c r="C159" s="222"/>
      <c r="D159" s="222"/>
      <c r="E159" s="560"/>
      <c r="F159" s="135"/>
      <c r="G159" s="509"/>
      <c r="H159" s="492"/>
      <c r="I159" s="492"/>
      <c r="J159" s="344"/>
      <c r="K159" s="507"/>
      <c r="L159" s="222"/>
      <c r="M159" s="204"/>
      <c r="N159" s="226"/>
      <c r="O159" s="433"/>
      <c r="P159" s="128"/>
      <c r="Q159" s="128"/>
      <c r="R159" s="128"/>
      <c r="S159" s="1162"/>
      <c r="T159" s="1138" t="s">
        <v>33</v>
      </c>
      <c r="U159" s="1138">
        <f>COUNTIF(D153:D172,"구")</f>
        <v>0</v>
      </c>
      <c r="V159" s="1139">
        <f>COUNTIF(I153:I172,"구")</f>
        <v>0</v>
      </c>
      <c r="W159" s="1138" t="s">
        <v>26</v>
      </c>
      <c r="X159" s="1138">
        <f>SUMIF(D153:D172,"구",F153:F172)</f>
        <v>0</v>
      </c>
      <c r="Y159" s="1139">
        <f>SUMIF(I153:I172,"구",K153:K172)</f>
        <v>0</v>
      </c>
      <c r="Z159" s="1164">
        <f>COUNTIF(AJ153:AJ172,"구국")+COUNTIF(AJ153:AJ172,"구공")</f>
        <v>0</v>
      </c>
      <c r="AA159" s="1165">
        <f>COUNTIF(AK153:AK172,"구국")+COUNTIF(AK153:AK172,"구공")</f>
        <v>0</v>
      </c>
      <c r="AB159" s="1164" t="s">
        <v>26</v>
      </c>
      <c r="AC159" s="1164">
        <f>SUMIF(AJ153:AJ172,"구국",F153:F172)+SUMIF(AJ153:AJ172,"구공",F153:F172)</f>
        <v>0</v>
      </c>
      <c r="AD159" s="1165">
        <f>SUMIF(AK153:AK172,"구국",K153:K172)+SUMIF(AK153:AK172,"구공",K153:K172)</f>
        <v>0</v>
      </c>
      <c r="AE159" s="1138">
        <f t="shared" si="31"/>
        <v>0</v>
      </c>
      <c r="AF159" s="1139">
        <f t="shared" si="31"/>
        <v>0</v>
      </c>
      <c r="AG159" s="1138" t="s">
        <v>26</v>
      </c>
      <c r="AH159" s="1138">
        <f t="shared" si="32"/>
        <v>0</v>
      </c>
      <c r="AI159" s="1139">
        <f t="shared" si="32"/>
        <v>0</v>
      </c>
      <c r="AJ159" s="1138" t="str">
        <f t="shared" si="33"/>
        <v/>
      </c>
      <c r="AK159" s="1138" t="str">
        <f t="shared" si="29"/>
        <v/>
      </c>
      <c r="AL159" s="66"/>
      <c r="AM159" s="66"/>
    </row>
    <row r="160" spans="1:39" s="67" customFormat="1" ht="24" hidden="1" customHeight="1" x14ac:dyDescent="0.15">
      <c r="A160" s="160">
        <v>148</v>
      </c>
      <c r="B160" s="222"/>
      <c r="C160" s="222"/>
      <c r="D160" s="133"/>
      <c r="E160" s="560"/>
      <c r="F160" s="135"/>
      <c r="G160" s="509"/>
      <c r="H160" s="492"/>
      <c r="I160" s="492"/>
      <c r="J160" s="344"/>
      <c r="K160" s="507"/>
      <c r="L160" s="222"/>
      <c r="M160" s="1175"/>
      <c r="N160" s="226"/>
      <c r="O160" s="433"/>
      <c r="P160" s="128"/>
      <c r="Q160" s="128"/>
      <c r="R160" s="128"/>
      <c r="S160" s="1162"/>
      <c r="T160" s="1138" t="s">
        <v>34</v>
      </c>
      <c r="U160" s="1138">
        <f>COUNTIF(D153:D172,"제")</f>
        <v>0</v>
      </c>
      <c r="V160" s="1139">
        <f>COUNTIF(I153:I172,"제")</f>
        <v>0</v>
      </c>
      <c r="W160" s="1138" t="s">
        <v>26</v>
      </c>
      <c r="X160" s="1138">
        <f>SUMIF(D153:D172,"제",F153:F172)</f>
        <v>0</v>
      </c>
      <c r="Y160" s="1139">
        <f>SUMIF(I153:I172,"제",K153:K172)</f>
        <v>0</v>
      </c>
      <c r="Z160" s="1164">
        <f>COUNTIF(AJ153:AJ172,"제국")+COUNTIF(AJ153:AJ172,"제공")</f>
        <v>0</v>
      </c>
      <c r="AA160" s="1165">
        <f>COUNTIF(AK153:AK172,"제국")+COUNTIF(AK153:AK172,"제공")</f>
        <v>0</v>
      </c>
      <c r="AB160" s="1164" t="s">
        <v>26</v>
      </c>
      <c r="AC160" s="1164">
        <f>SUMIF(AJ153:AJ172,"제국",F153:F172)+SUMIF(AJ153:AJ172,"제공",F153:F172)</f>
        <v>0</v>
      </c>
      <c r="AD160" s="1165">
        <f>SUMIF(AK153:AK172,"제국",K153:K172)+SUMIF(AK153:AK172,"제공",K153:K172)</f>
        <v>0</v>
      </c>
      <c r="AE160" s="1138">
        <f t="shared" si="31"/>
        <v>0</v>
      </c>
      <c r="AF160" s="1139">
        <f t="shared" si="31"/>
        <v>0</v>
      </c>
      <c r="AG160" s="1138" t="s">
        <v>26</v>
      </c>
      <c r="AH160" s="1138">
        <f t="shared" si="32"/>
        <v>0</v>
      </c>
      <c r="AI160" s="1139">
        <f t="shared" si="32"/>
        <v>0</v>
      </c>
      <c r="AJ160" s="1138" t="str">
        <f t="shared" si="33"/>
        <v/>
      </c>
      <c r="AK160" s="1138" t="str">
        <f t="shared" si="29"/>
        <v/>
      </c>
      <c r="AL160" s="66"/>
      <c r="AM160" s="66"/>
    </row>
    <row r="161" spans="1:39" s="67" customFormat="1" ht="24" hidden="1" customHeight="1" x14ac:dyDescent="0.15">
      <c r="A161" s="160">
        <v>149</v>
      </c>
      <c r="B161" s="222"/>
      <c r="C161" s="1166"/>
      <c r="D161" s="133"/>
      <c r="E161" s="1167"/>
      <c r="F161" s="135"/>
      <c r="G161" s="1169"/>
      <c r="H161" s="1176"/>
      <c r="I161" s="1176"/>
      <c r="J161" s="1177"/>
      <c r="K161" s="1177"/>
      <c r="L161" s="1166"/>
      <c r="M161" s="1170"/>
      <c r="N161" s="1178"/>
      <c r="O161" s="1171"/>
      <c r="P161" s="193"/>
      <c r="Q161" s="193"/>
      <c r="R161" s="193"/>
      <c r="S161" s="1162"/>
      <c r="T161" s="1138" t="s">
        <v>46</v>
      </c>
      <c r="U161" s="1138">
        <f>COUNTIF(D153:D172,"유")</f>
        <v>0</v>
      </c>
      <c r="V161" s="1139">
        <f>COUNTIF(I153:I172,"유")</f>
        <v>0</v>
      </c>
      <c r="W161" s="1138" t="s">
        <v>26</v>
      </c>
      <c r="X161" s="1138">
        <f>SUMIF(D153:D172,"유",F153:F172)</f>
        <v>0</v>
      </c>
      <c r="Y161" s="1139">
        <f>SUMIF(I153:I172,"유",K153:K172)</f>
        <v>0</v>
      </c>
      <c r="Z161" s="1164">
        <f>COUNTIF(AJ153:AJ172,"유국")+COUNTIF(AJ153:AJ172,"유공")</f>
        <v>0</v>
      </c>
      <c r="AA161" s="1165">
        <f>COUNTIF(AK153:AK172,"유국")+COUNTIF(AK153:AK172,"유공")</f>
        <v>0</v>
      </c>
      <c r="AB161" s="1164" t="s">
        <v>26</v>
      </c>
      <c r="AC161" s="1164">
        <f>SUMIF(AJ153:AJ172,"유국",F153:F172)+SUMIF(AJ153:AJ172,"유공",F153:F172)</f>
        <v>0</v>
      </c>
      <c r="AD161" s="1165">
        <f>SUMIF(AK153:AK172,"유국",K153:K172)+SUMIF(AK153:AK172,"유공",K153:K172)</f>
        <v>0</v>
      </c>
      <c r="AE161" s="1138">
        <f t="shared" si="31"/>
        <v>0</v>
      </c>
      <c r="AF161" s="1139">
        <f t="shared" si="31"/>
        <v>0</v>
      </c>
      <c r="AG161" s="1138" t="s">
        <v>26</v>
      </c>
      <c r="AH161" s="1138">
        <f t="shared" si="32"/>
        <v>0</v>
      </c>
      <c r="AI161" s="1139">
        <f t="shared" si="32"/>
        <v>0</v>
      </c>
      <c r="AJ161" s="1138" t="str">
        <f t="shared" si="33"/>
        <v/>
      </c>
      <c r="AK161" s="1138" t="str">
        <f t="shared" si="29"/>
        <v/>
      </c>
      <c r="AL161" s="66"/>
      <c r="AM161" s="66"/>
    </row>
    <row r="162" spans="1:39" s="67" customFormat="1" ht="24" hidden="1" customHeight="1" x14ac:dyDescent="0.15">
      <c r="A162" s="160">
        <v>150</v>
      </c>
      <c r="B162" s="222"/>
      <c r="C162" s="222"/>
      <c r="D162" s="222"/>
      <c r="E162" s="560"/>
      <c r="F162" s="135"/>
      <c r="G162" s="509"/>
      <c r="H162" s="346"/>
      <c r="I162" s="346"/>
      <c r="J162" s="569"/>
      <c r="K162" s="569"/>
      <c r="L162" s="204"/>
      <c r="M162" s="204"/>
      <c r="N162" s="433"/>
      <c r="O162" s="433"/>
      <c r="P162" s="128"/>
      <c r="Q162" s="128"/>
      <c r="R162" s="128"/>
      <c r="S162" s="1162"/>
      <c r="T162" s="1138" t="s">
        <v>47</v>
      </c>
      <c r="U162" s="1138">
        <f>COUNTIF(D153:D172,"과")</f>
        <v>0</v>
      </c>
      <c r="V162" s="1139">
        <f>COUNTIF(I153:I172,"과")</f>
        <v>0</v>
      </c>
      <c r="W162" s="1138" t="s">
        <v>26</v>
      </c>
      <c r="X162" s="1138">
        <f>SUMIF(D153:D172,"과",F153:F172)</f>
        <v>0</v>
      </c>
      <c r="Y162" s="1139">
        <f>SUMIF(I153:I172,"과",K153:K172)</f>
        <v>0</v>
      </c>
      <c r="Z162" s="1164">
        <f>COUNTIF(AJ153:AJ172,"과국")+COUNTIF(AJ153:AJ172,"과공")</f>
        <v>0</v>
      </c>
      <c r="AA162" s="1165">
        <f>COUNTIF(AK153:AK172,"과국")+COUNTIF(AK153:AK172,"과공")</f>
        <v>0</v>
      </c>
      <c r="AB162" s="1164" t="s">
        <v>26</v>
      </c>
      <c r="AC162" s="1164">
        <f>SUMIF(AJ153:AJ172,"과국",F153:F172)+SUMIF(AJ153:AJ172,"과공",F153:F172)</f>
        <v>0</v>
      </c>
      <c r="AD162" s="1165">
        <f>SUMIF(AK153:AK172,"과국",K153:K172)+SUMIF(AK153:AK172,"과공",K153:K172)</f>
        <v>0</v>
      </c>
      <c r="AE162" s="1138">
        <f t="shared" si="31"/>
        <v>0</v>
      </c>
      <c r="AF162" s="1139">
        <f t="shared" si="31"/>
        <v>0</v>
      </c>
      <c r="AG162" s="1138" t="s">
        <v>26</v>
      </c>
      <c r="AH162" s="1138">
        <f t="shared" si="32"/>
        <v>0</v>
      </c>
      <c r="AI162" s="1139">
        <f t="shared" si="32"/>
        <v>0</v>
      </c>
      <c r="AJ162" s="1138" t="str">
        <f t="shared" si="33"/>
        <v/>
      </c>
      <c r="AK162" s="1138" t="str">
        <f t="shared" si="29"/>
        <v/>
      </c>
      <c r="AL162" s="66"/>
      <c r="AM162" s="66"/>
    </row>
    <row r="163" spans="1:39" s="67" customFormat="1" ht="24" hidden="1" customHeight="1" x14ac:dyDescent="0.15">
      <c r="A163" s="160">
        <v>151</v>
      </c>
      <c r="B163" s="222"/>
      <c r="C163" s="222"/>
      <c r="D163" s="222"/>
      <c r="E163" s="560"/>
      <c r="F163" s="135"/>
      <c r="G163" s="509"/>
      <c r="H163" s="346"/>
      <c r="I163" s="346"/>
      <c r="J163" s="569"/>
      <c r="K163" s="569"/>
      <c r="L163" s="204"/>
      <c r="M163" s="204"/>
      <c r="N163" s="226"/>
      <c r="O163" s="433"/>
      <c r="P163" s="128"/>
      <c r="Q163" s="128"/>
      <c r="R163" s="128"/>
      <c r="S163" s="1162"/>
      <c r="T163" s="1138" t="s">
        <v>36</v>
      </c>
      <c r="U163" s="1138">
        <f>COUNTIF(D153:D172,"묘")</f>
        <v>0</v>
      </c>
      <c r="V163" s="1139">
        <f>COUNTIF(I153:I172,"묘")</f>
        <v>0</v>
      </c>
      <c r="W163" s="1138" t="s">
        <v>26</v>
      </c>
      <c r="X163" s="1138">
        <f>SUMIF(D153:D172,"묘",F153:F172)</f>
        <v>0</v>
      </c>
      <c r="Y163" s="1139">
        <f>SUMIF(I153:I172,"묘",K153:K172)</f>
        <v>0</v>
      </c>
      <c r="Z163" s="1164">
        <f>COUNTIF(AJ153:AJ172,"묘국")+COUNTIF(AJ153:AJ172,"묘공")</f>
        <v>0</v>
      </c>
      <c r="AA163" s="1165">
        <f>COUNTIF(AK153:AK172,"묘국")+COUNTIF(AK153:AK172,"묘공")</f>
        <v>0</v>
      </c>
      <c r="AB163" s="1164" t="s">
        <v>26</v>
      </c>
      <c r="AC163" s="1164">
        <f>SUMIF(AJ153:AJ172,"묘국",F153:F172)+SUMIF(AJ153:AJ172,"묘공",F153:F172)</f>
        <v>0</v>
      </c>
      <c r="AD163" s="1165">
        <f>SUMIF(AK153:AK172,"묘국",K153:K172)+SUMIF(AK153:AK172,"묘공",K153:K172)</f>
        <v>0</v>
      </c>
      <c r="AE163" s="1138">
        <f t="shared" si="31"/>
        <v>0</v>
      </c>
      <c r="AF163" s="1139">
        <f t="shared" si="31"/>
        <v>0</v>
      </c>
      <c r="AG163" s="1138" t="s">
        <v>26</v>
      </c>
      <c r="AH163" s="1138">
        <f t="shared" si="32"/>
        <v>0</v>
      </c>
      <c r="AI163" s="1139">
        <f t="shared" si="32"/>
        <v>0</v>
      </c>
      <c r="AJ163" s="1138" t="str">
        <f t="shared" si="33"/>
        <v/>
      </c>
      <c r="AK163" s="1138" t="str">
        <f t="shared" si="29"/>
        <v/>
      </c>
      <c r="AL163" s="66"/>
      <c r="AM163" s="66"/>
    </row>
    <row r="164" spans="1:39" s="67" customFormat="1" ht="24" hidden="1" customHeight="1" x14ac:dyDescent="0.15">
      <c r="A164" s="160">
        <v>152</v>
      </c>
      <c r="B164" s="222"/>
      <c r="C164" s="323"/>
      <c r="D164" s="222"/>
      <c r="E164" s="560"/>
      <c r="F164" s="135"/>
      <c r="G164" s="509"/>
      <c r="H164" s="503"/>
      <c r="I164" s="346"/>
      <c r="J164" s="569"/>
      <c r="K164" s="569"/>
      <c r="L164" s="204"/>
      <c r="M164" s="204"/>
      <c r="N164" s="226"/>
      <c r="O164" s="433"/>
      <c r="P164" s="128"/>
      <c r="Q164" s="128"/>
      <c r="R164" s="128"/>
      <c r="S164" s="1162"/>
      <c r="T164" s="1138" t="s">
        <v>39</v>
      </c>
      <c r="U164" s="1138">
        <f>COUNTIF(D153:D172,"수")</f>
        <v>0</v>
      </c>
      <c r="V164" s="1139">
        <f>COUNTIF(I153:I172,"수")</f>
        <v>0</v>
      </c>
      <c r="W164" s="1138" t="s">
        <v>26</v>
      </c>
      <c r="X164" s="1138">
        <f>SUMIF(D153:D172,"수",F153:F172)</f>
        <v>0</v>
      </c>
      <c r="Y164" s="1139">
        <f>SUMIF(I153:I172,"수",K153:K172)</f>
        <v>0</v>
      </c>
      <c r="Z164" s="1164">
        <f>COUNTIF(AJ153:AJ172,"수국")+COUNTIF(AJ153:AJ172,"수공")</f>
        <v>0</v>
      </c>
      <c r="AA164" s="1165">
        <f>COUNTIF(AK153:AK172,"수국")+COUNTIF(AK153:AK172,"수공")</f>
        <v>0</v>
      </c>
      <c r="AB164" s="1164" t="s">
        <v>26</v>
      </c>
      <c r="AC164" s="1164">
        <f>SUMIF(AJ153:AJ172,"수국",F153:F172)+SUMIF(AJ153:AJ172,"수공",F153:F172)</f>
        <v>0</v>
      </c>
      <c r="AD164" s="1165">
        <f>SUMIF(AK153:AK172,"수국",K153:K172)+SUMIF(AK153:AK172,"수공",K153:K172)</f>
        <v>0</v>
      </c>
      <c r="AE164" s="1138">
        <f t="shared" si="31"/>
        <v>0</v>
      </c>
      <c r="AF164" s="1139">
        <f t="shared" si="31"/>
        <v>0</v>
      </c>
      <c r="AG164" s="1138" t="s">
        <v>26</v>
      </c>
      <c r="AH164" s="1138">
        <f t="shared" si="32"/>
        <v>0</v>
      </c>
      <c r="AI164" s="1139">
        <f t="shared" si="32"/>
        <v>0</v>
      </c>
      <c r="AJ164" s="1138" t="str">
        <f t="shared" si="33"/>
        <v/>
      </c>
      <c r="AK164" s="1138" t="str">
        <f t="shared" si="29"/>
        <v/>
      </c>
      <c r="AL164" s="66"/>
      <c r="AM164" s="66"/>
    </row>
    <row r="165" spans="1:39" s="67" customFormat="1" ht="24" hidden="1" customHeight="1" x14ac:dyDescent="0.15">
      <c r="A165" s="160">
        <v>153</v>
      </c>
      <c r="B165" s="222"/>
      <c r="C165" s="222"/>
      <c r="D165" s="222"/>
      <c r="E165" s="560"/>
      <c r="F165" s="135"/>
      <c r="G165" s="509"/>
      <c r="H165" s="346"/>
      <c r="I165" s="346"/>
      <c r="J165" s="569"/>
      <c r="K165" s="569"/>
      <c r="L165" s="204"/>
      <c r="M165" s="204"/>
      <c r="N165" s="433"/>
      <c r="O165" s="226"/>
      <c r="P165" s="128"/>
      <c r="Q165" s="128"/>
      <c r="R165" s="128"/>
      <c r="S165" s="1162"/>
      <c r="T165" s="1138" t="s">
        <v>35</v>
      </c>
      <c r="U165" s="1138">
        <f>COUNTIF(D153:D172,"잡")</f>
        <v>0</v>
      </c>
      <c r="V165" s="1139">
        <f>COUNTIF(I153:I172,"잡")</f>
        <v>0</v>
      </c>
      <c r="W165" s="1138" t="s">
        <v>26</v>
      </c>
      <c r="X165" s="1138">
        <f>SUMIF(D153:D172,"잡",F153:F172)</f>
        <v>0</v>
      </c>
      <c r="Y165" s="1139">
        <f>SUMIF(I153:I172,"잡",K153:K172)</f>
        <v>0</v>
      </c>
      <c r="Z165" s="1164">
        <f>COUNTIF(AJ153:AJ172,"잡국")+COUNTIF(AJ153:AJ172,"잡공")</f>
        <v>0</v>
      </c>
      <c r="AA165" s="1165">
        <f>COUNTIF(AK153:AK172,"잡국")+COUNTIF(AK153:AK172,"잡공")</f>
        <v>0</v>
      </c>
      <c r="AB165" s="1164" t="s">
        <v>26</v>
      </c>
      <c r="AC165" s="1164">
        <f>SUMIF(AJ153:AJ172,"잡국",F153:F172)+SUMIF(AJ153:AJ172,"잡공",F153:F172)</f>
        <v>0</v>
      </c>
      <c r="AD165" s="1165">
        <f>SUMIF(AK153:AK172,"잡국",K153:K172)+SUMIF(AK153:AK172,"잡공",K153:K172)</f>
        <v>0</v>
      </c>
      <c r="AE165" s="1138">
        <f t="shared" si="31"/>
        <v>0</v>
      </c>
      <c r="AF165" s="1139">
        <f t="shared" si="31"/>
        <v>0</v>
      </c>
      <c r="AG165" s="1138" t="s">
        <v>26</v>
      </c>
      <c r="AH165" s="1138">
        <f t="shared" si="32"/>
        <v>0</v>
      </c>
      <c r="AI165" s="1139">
        <f t="shared" si="32"/>
        <v>0</v>
      </c>
      <c r="AJ165" s="1138" t="str">
        <f t="shared" si="33"/>
        <v/>
      </c>
      <c r="AK165" s="1138" t="str">
        <f t="shared" si="29"/>
        <v/>
      </c>
      <c r="AL165" s="66"/>
      <c r="AM165" s="66"/>
    </row>
    <row r="166" spans="1:39" s="67" customFormat="1" ht="24" hidden="1" customHeight="1" x14ac:dyDescent="0.15">
      <c r="A166" s="160">
        <v>154</v>
      </c>
      <c r="B166" s="222"/>
      <c r="C166" s="222"/>
      <c r="D166" s="222"/>
      <c r="E166" s="560"/>
      <c r="F166" s="135"/>
      <c r="G166" s="509"/>
      <c r="H166" s="346"/>
      <c r="I166" s="346"/>
      <c r="J166" s="569"/>
      <c r="K166" s="569"/>
      <c r="L166" s="204"/>
      <c r="M166" s="204"/>
      <c r="N166" s="433"/>
      <c r="O166" s="433"/>
      <c r="P166" s="128"/>
      <c r="Q166" s="128"/>
      <c r="R166" s="128"/>
      <c r="S166" s="1162"/>
      <c r="T166" s="1138" t="s">
        <v>221</v>
      </c>
      <c r="U166" s="1138">
        <f>COUNTIF(D153:D172,"창")</f>
        <v>0</v>
      </c>
      <c r="V166" s="1139">
        <f>COUNTIF(I153:I172,"창")</f>
        <v>0</v>
      </c>
      <c r="W166" s="1138" t="s">
        <v>26</v>
      </c>
      <c r="X166" s="1138">
        <f>SUMIF(D153:D172,"창",F153:F172)</f>
        <v>0</v>
      </c>
      <c r="Y166" s="1139">
        <f>SUMIF(I153:I172,"창",K153:K172)</f>
        <v>0</v>
      </c>
      <c r="Z166" s="1164">
        <f>COUNTIF(AJ153:AJ172,"창국")+COUNTIF(AJ153:AJ172,"창공")</f>
        <v>0</v>
      </c>
      <c r="AA166" s="1165">
        <f>COUNTIF(AK153:AK172,"창국")+COUNTIF(AK153:AK172,"창공")</f>
        <v>0</v>
      </c>
      <c r="AB166" s="1164" t="s">
        <v>26</v>
      </c>
      <c r="AC166" s="1164">
        <f>SUMIF(AJ153:AJ172,"창국",F153:F172)+SUMIF(AJ153:AJ172,"창공",F153:F172)</f>
        <v>0</v>
      </c>
      <c r="AD166" s="1165">
        <f>SUMIF(AK153:AK172,"창국",K153:K172)+SUMIF(AK153:AK172,"창공",K153:K172)</f>
        <v>0</v>
      </c>
      <c r="AE166" s="1138">
        <f t="shared" si="31"/>
        <v>0</v>
      </c>
      <c r="AF166" s="1139">
        <f t="shared" si="31"/>
        <v>0</v>
      </c>
      <c r="AG166" s="1138" t="s">
        <v>26</v>
      </c>
      <c r="AH166" s="1138">
        <f t="shared" si="32"/>
        <v>0</v>
      </c>
      <c r="AI166" s="1139">
        <f t="shared" si="32"/>
        <v>0</v>
      </c>
      <c r="AJ166" s="1138" t="str">
        <f t="shared" si="33"/>
        <v/>
      </c>
      <c r="AK166" s="1138" t="str">
        <f t="shared" si="29"/>
        <v/>
      </c>
      <c r="AL166" s="66"/>
      <c r="AM166" s="66"/>
    </row>
    <row r="167" spans="1:39" s="67" customFormat="1" ht="24" hidden="1" customHeight="1" x14ac:dyDescent="0.15">
      <c r="A167" s="160">
        <v>155</v>
      </c>
      <c r="B167" s="222"/>
      <c r="C167" s="222"/>
      <c r="D167" s="222"/>
      <c r="E167" s="560"/>
      <c r="F167" s="135"/>
      <c r="G167" s="509"/>
      <c r="H167" s="346"/>
      <c r="I167" s="346"/>
      <c r="J167" s="569"/>
      <c r="K167" s="569"/>
      <c r="L167" s="204"/>
      <c r="M167" s="204"/>
      <c r="N167" s="433"/>
      <c r="O167" s="433"/>
      <c r="P167" s="128"/>
      <c r="Q167" s="128"/>
      <c r="R167" s="128"/>
      <c r="S167" s="1162"/>
      <c r="T167" s="1138" t="s">
        <v>50</v>
      </c>
      <c r="U167" s="1138">
        <f>COUNTIF(D153:D172,"공")</f>
        <v>0</v>
      </c>
      <c r="V167" s="1139">
        <f>COUNTIF(I153:I172,"공")</f>
        <v>0</v>
      </c>
      <c r="W167" s="1138" t="s">
        <v>26</v>
      </c>
      <c r="X167" s="1138">
        <f>SUMIF(D153:D172,"공",F153:F172)</f>
        <v>0</v>
      </c>
      <c r="Y167" s="1139">
        <f>SUMIF(I153:I172,"공",K153:K172)</f>
        <v>0</v>
      </c>
      <c r="Z167" s="1164">
        <f>COUNTIF(AJ153:AJ172,"공국")+COUNTIF(AJ153:AJ172,"공공")</f>
        <v>0</v>
      </c>
      <c r="AA167" s="1165">
        <f>COUNTIF(AK153:AK172,"공국")+COUNTIF(AK153:AK172,"공공")</f>
        <v>0</v>
      </c>
      <c r="AB167" s="1164" t="s">
        <v>26</v>
      </c>
      <c r="AC167" s="1164">
        <f>SUMIF(AJ153:AJ172,"공국",F153:F172)+SUMIF(AJ153:AJ172,"공공",F153:F172)</f>
        <v>0</v>
      </c>
      <c r="AD167" s="1165">
        <f>SUMIF(AK153:AK172,"공국",K153:K172)+SUMIF(AK153:AK172,"공공",K153:K172)</f>
        <v>0</v>
      </c>
      <c r="AE167" s="1138">
        <f t="shared" si="31"/>
        <v>0</v>
      </c>
      <c r="AF167" s="1139">
        <f t="shared" si="31"/>
        <v>0</v>
      </c>
      <c r="AG167" s="1138" t="s">
        <v>26</v>
      </c>
      <c r="AH167" s="1138">
        <f t="shared" si="32"/>
        <v>0</v>
      </c>
      <c r="AI167" s="1139">
        <f t="shared" si="32"/>
        <v>0</v>
      </c>
      <c r="AJ167" s="1138" t="str">
        <f t="shared" si="33"/>
        <v/>
      </c>
      <c r="AK167" s="1138" t="str">
        <f t="shared" si="29"/>
        <v/>
      </c>
      <c r="AL167" s="66"/>
      <c r="AM167" s="66"/>
    </row>
    <row r="168" spans="1:39" s="67" customFormat="1" ht="24" hidden="1" customHeight="1" x14ac:dyDescent="0.15">
      <c r="A168" s="160">
        <v>156</v>
      </c>
      <c r="B168" s="222"/>
      <c r="C168" s="222"/>
      <c r="D168" s="222"/>
      <c r="E168" s="560"/>
      <c r="F168" s="135"/>
      <c r="G168" s="509"/>
      <c r="H168" s="346"/>
      <c r="I168" s="346"/>
      <c r="J168" s="569"/>
      <c r="K168" s="569"/>
      <c r="L168" s="222"/>
      <c r="M168" s="222"/>
      <c r="N168" s="226"/>
      <c r="O168" s="433"/>
      <c r="P168" s="128"/>
      <c r="Q168" s="128"/>
      <c r="R168" s="128"/>
      <c r="S168" s="1162"/>
      <c r="T168" s="1142" t="s">
        <v>219</v>
      </c>
      <c r="U168" s="1138">
        <f>COUNTIF(D153:D172,"주")</f>
        <v>0</v>
      </c>
      <c r="V168" s="1139">
        <f>COUNTIF(I153:I172,"주")</f>
        <v>0</v>
      </c>
      <c r="W168" s="1138" t="s">
        <v>26</v>
      </c>
      <c r="X168" s="1138">
        <f>SUMIF(D153:D172,"주",F153:F172)</f>
        <v>0</v>
      </c>
      <c r="Y168" s="1139">
        <f>SUMIF(I153:I172,"주",K153:K172)</f>
        <v>0</v>
      </c>
      <c r="Z168" s="1164">
        <f>COUNTIF(AJ153:AJ172,"주국")+COUNTIF(AJ153:AJ172,"주공")</f>
        <v>0</v>
      </c>
      <c r="AA168" s="1165">
        <f>COUNTIF(AK153:AK172,"주국")+COUNTIF(AK153:AK172,"주공")</f>
        <v>0</v>
      </c>
      <c r="AB168" s="1164" t="s">
        <v>26</v>
      </c>
      <c r="AC168" s="1164">
        <f>SUMIF(AJ153:AJ172,"주국",F153:F172)+SUMIF(AJ153:AJ172,"주공",F153:F172)</f>
        <v>0</v>
      </c>
      <c r="AD168" s="1165">
        <f>SUMIF(AK153:AK172,"주국",K153:K172)+SUMIF(AK153:AK172,"주공",K153:K172)</f>
        <v>0</v>
      </c>
      <c r="AE168" s="1138">
        <f t="shared" si="31"/>
        <v>0</v>
      </c>
      <c r="AF168" s="1139">
        <f t="shared" si="31"/>
        <v>0</v>
      </c>
      <c r="AG168" s="1138" t="s">
        <v>26</v>
      </c>
      <c r="AH168" s="1138">
        <f t="shared" si="32"/>
        <v>0</v>
      </c>
      <c r="AI168" s="1139">
        <f t="shared" si="32"/>
        <v>0</v>
      </c>
      <c r="AJ168" s="1138" t="str">
        <f t="shared" si="33"/>
        <v/>
      </c>
      <c r="AK168" s="1138" t="str">
        <f t="shared" si="29"/>
        <v/>
      </c>
      <c r="AL168" s="66"/>
      <c r="AM168" s="66"/>
    </row>
    <row r="169" spans="1:39" s="67" customFormat="1" ht="24" hidden="1" customHeight="1" x14ac:dyDescent="0.15">
      <c r="A169" s="160">
        <v>157</v>
      </c>
      <c r="B169" s="222"/>
      <c r="C169" s="222"/>
      <c r="D169" s="133"/>
      <c r="E169" s="560"/>
      <c r="F169" s="135"/>
      <c r="G169" s="509"/>
      <c r="H169" s="346"/>
      <c r="I169" s="346"/>
      <c r="J169" s="569"/>
      <c r="K169" s="569"/>
      <c r="L169" s="222"/>
      <c r="M169" s="222"/>
      <c r="N169" s="226"/>
      <c r="O169" s="226"/>
      <c r="P169" s="128"/>
      <c r="Q169" s="128"/>
      <c r="R169" s="128"/>
      <c r="S169" s="1162"/>
      <c r="T169" s="1142" t="s">
        <v>5</v>
      </c>
      <c r="U169" s="1138">
        <f>COUNTIF(D153:D172,"목")</f>
        <v>0</v>
      </c>
      <c r="V169" s="1139">
        <f>COUNTIF(I153:I172,"목")</f>
        <v>0</v>
      </c>
      <c r="W169" s="1138" t="s">
        <v>26</v>
      </c>
      <c r="X169" s="1138">
        <f>SUMIF(D153:D172,"목",F153:F172)</f>
        <v>0</v>
      </c>
      <c r="Y169" s="1139">
        <f>SUMIF(I153:I172,"목",K153:K172)</f>
        <v>0</v>
      </c>
      <c r="Z169" s="1164">
        <f>COUNTIF(AJ153:AJ172,"목국")+COUNTIF(AJ153:AJ172,"목공")</f>
        <v>0</v>
      </c>
      <c r="AA169" s="1165">
        <f>COUNTIF(AK153:AK172,"목국")+COUNTIF(AK153:AK172,"목공")</f>
        <v>0</v>
      </c>
      <c r="AB169" s="1164" t="s">
        <v>26</v>
      </c>
      <c r="AC169" s="1164">
        <f>SUMIF(AJ153:AJ172,"목국",F153:F172)+SUMIF(AJ153:AJ172,"목공",F153:F172)</f>
        <v>0</v>
      </c>
      <c r="AD169" s="1165">
        <f>SUMIF(AK153:AK172,"목국",K153:K172)+SUMIF(AK153:AK172,"목공",K153:K172)</f>
        <v>0</v>
      </c>
      <c r="AE169" s="1138">
        <f t="shared" si="31"/>
        <v>0</v>
      </c>
      <c r="AF169" s="1139">
        <f t="shared" si="31"/>
        <v>0</v>
      </c>
      <c r="AG169" s="1138" t="s">
        <v>26</v>
      </c>
      <c r="AH169" s="1138">
        <f t="shared" si="32"/>
        <v>0</v>
      </c>
      <c r="AI169" s="1139">
        <f t="shared" si="32"/>
        <v>0</v>
      </c>
      <c r="AJ169" s="1138" t="str">
        <f t="shared" si="33"/>
        <v/>
      </c>
      <c r="AK169" s="1138" t="str">
        <f t="shared" si="29"/>
        <v/>
      </c>
      <c r="AL169" s="66"/>
      <c r="AM169" s="66"/>
    </row>
    <row r="170" spans="1:39" s="67" customFormat="1" ht="24" hidden="1" customHeight="1" x14ac:dyDescent="0.15">
      <c r="A170" s="160">
        <v>158</v>
      </c>
      <c r="B170" s="222"/>
      <c r="C170" s="223"/>
      <c r="D170" s="133"/>
      <c r="E170" s="560"/>
      <c r="F170" s="135"/>
      <c r="G170" s="509"/>
      <c r="H170" s="503"/>
      <c r="I170" s="346"/>
      <c r="J170" s="569"/>
      <c r="K170" s="569"/>
      <c r="L170" s="222"/>
      <c r="M170" s="222"/>
      <c r="N170" s="226"/>
      <c r="O170" s="226"/>
      <c r="P170" s="155"/>
      <c r="Q170" s="155"/>
      <c r="R170" s="155"/>
      <c r="S170" s="1162"/>
      <c r="T170" s="1142"/>
      <c r="U170" s="1142"/>
      <c r="V170" s="1143"/>
      <c r="W170" s="1142"/>
      <c r="X170" s="1142"/>
      <c r="Y170" s="1143"/>
      <c r="Z170" s="1164"/>
      <c r="AA170" s="1165"/>
      <c r="AB170" s="1173"/>
      <c r="AC170" s="1164"/>
      <c r="AD170" s="1165"/>
      <c r="AE170" s="1142"/>
      <c r="AF170" s="1143"/>
      <c r="AG170" s="1142"/>
      <c r="AH170" s="1142"/>
      <c r="AI170" s="1143"/>
      <c r="AJ170" s="1138" t="str">
        <f t="shared" si="33"/>
        <v/>
      </c>
      <c r="AK170" s="1138" t="str">
        <f t="shared" si="29"/>
        <v/>
      </c>
      <c r="AL170" s="66"/>
      <c r="AM170" s="66"/>
    </row>
    <row r="171" spans="1:39" s="67" customFormat="1" ht="24" hidden="1" customHeight="1" x14ac:dyDescent="0.15">
      <c r="A171" s="160">
        <v>159</v>
      </c>
      <c r="B171" s="222"/>
      <c r="C171" s="222"/>
      <c r="D171" s="222"/>
      <c r="E171" s="560"/>
      <c r="F171" s="135"/>
      <c r="G171" s="509"/>
      <c r="H171" s="346"/>
      <c r="I171" s="346"/>
      <c r="J171" s="569"/>
      <c r="K171" s="569"/>
      <c r="L171" s="222"/>
      <c r="M171" s="1175"/>
      <c r="N171" s="226"/>
      <c r="O171" s="1179"/>
      <c r="P171" s="128"/>
      <c r="Q171" s="128"/>
      <c r="R171" s="128"/>
      <c r="S171" s="1162"/>
      <c r="T171" s="1142"/>
      <c r="U171" s="1142"/>
      <c r="V171" s="1143"/>
      <c r="W171" s="1142"/>
      <c r="X171" s="1142"/>
      <c r="Y171" s="1143"/>
      <c r="Z171" s="1164"/>
      <c r="AA171" s="1165"/>
      <c r="AB171" s="1173"/>
      <c r="AC171" s="1164"/>
      <c r="AD171" s="1165"/>
      <c r="AE171" s="1142"/>
      <c r="AF171" s="1143"/>
      <c r="AG171" s="1142"/>
      <c r="AH171" s="1142"/>
      <c r="AI171" s="1143"/>
      <c r="AJ171" s="1138" t="str">
        <f t="shared" si="33"/>
        <v/>
      </c>
      <c r="AK171" s="1138" t="str">
        <f t="shared" si="29"/>
        <v/>
      </c>
      <c r="AL171" s="66"/>
      <c r="AM171" s="66"/>
    </row>
    <row r="172" spans="1:39" s="67" customFormat="1" ht="24" hidden="1" customHeight="1" x14ac:dyDescent="0.15">
      <c r="A172" s="160">
        <v>160</v>
      </c>
      <c r="B172" s="222"/>
      <c r="C172" s="222"/>
      <c r="D172" s="222"/>
      <c r="E172" s="560"/>
      <c r="F172" s="135"/>
      <c r="G172" s="509"/>
      <c r="H172" s="346"/>
      <c r="I172" s="346"/>
      <c r="J172" s="569"/>
      <c r="K172" s="569"/>
      <c r="L172" s="204"/>
      <c r="M172" s="222"/>
      <c r="N172" s="433"/>
      <c r="O172" s="226"/>
      <c r="P172" s="155"/>
      <c r="Q172" s="155"/>
      <c r="R172" s="155"/>
      <c r="S172" s="1162"/>
      <c r="T172" s="1144" t="s">
        <v>37</v>
      </c>
      <c r="U172" s="1144">
        <f>COUNTIF(D153:D172,"철")</f>
        <v>0</v>
      </c>
      <c r="V172" s="1145">
        <f>COUNTIF(I153:I172,"철")</f>
        <v>0</v>
      </c>
      <c r="W172" s="1144" t="s">
        <v>26</v>
      </c>
      <c r="X172" s="1144">
        <f>SUMIF(D153:D172,"철",F153:F172)</f>
        <v>0</v>
      </c>
      <c r="Y172" s="1145">
        <f>SUMIF(I153:I172,"철",K153:K172)</f>
        <v>0</v>
      </c>
      <c r="Z172" s="1164">
        <f>COUNTIF(AJ153:AJ172,"철국")+COUNTIF(AJ153:AJ172,"철공")</f>
        <v>0</v>
      </c>
      <c r="AA172" s="1165">
        <f>COUNTIF(AK153:AK172,"철국")+COUNTIF(AK153:AK172,"철공")</f>
        <v>0</v>
      </c>
      <c r="AB172" s="1174" t="s">
        <v>26</v>
      </c>
      <c r="AC172" s="1164">
        <f>SUMIF(AJ153:AJ172,"철국",F153:F172)+SUMIF(AJ153:AJ172,"철공",F153:F172)</f>
        <v>0</v>
      </c>
      <c r="AD172" s="1165">
        <f>SUMIF(AK153:AK172,"철국",K153:K172)+SUMIF(AK153:AK172,"철공",K153:K172)</f>
        <v>0</v>
      </c>
      <c r="AE172" s="1144"/>
      <c r="AF172" s="1145"/>
      <c r="AG172" s="1144"/>
      <c r="AH172" s="1144"/>
      <c r="AI172" s="1145"/>
      <c r="AJ172" s="1138" t="str">
        <f t="shared" si="33"/>
        <v/>
      </c>
      <c r="AK172" s="1138" t="str">
        <f t="shared" si="29"/>
        <v/>
      </c>
      <c r="AL172" s="66"/>
      <c r="AM172" s="66"/>
    </row>
    <row r="173" spans="1:39" s="57" customFormat="1" ht="24" hidden="1" customHeight="1" thickBot="1" x14ac:dyDescent="0.2">
      <c r="A173" s="1146" t="s">
        <v>48</v>
      </c>
      <c r="B173" s="1147"/>
      <c r="C173" s="1147"/>
      <c r="D173" s="1147"/>
      <c r="E173" s="1147"/>
      <c r="F173" s="1148">
        <f>SUM(F153:F172)</f>
        <v>0</v>
      </c>
      <c r="G173" s="1149"/>
      <c r="H173" s="1149"/>
      <c r="I173" s="1150"/>
      <c r="J173" s="1158"/>
      <c r="K173" s="1159">
        <f>SUM(K153:K172)</f>
        <v>0</v>
      </c>
      <c r="L173" s="1153"/>
      <c r="M173" s="1153"/>
      <c r="N173" s="1154"/>
      <c r="O173" s="1154"/>
      <c r="P173" s="1153"/>
      <c r="Q173" s="1153"/>
      <c r="R173" s="1153"/>
      <c r="S173" s="1155"/>
      <c r="T173" s="1156" t="s">
        <v>24</v>
      </c>
      <c r="U173" s="1157">
        <f t="shared" ref="U173:AA173" si="34">SUM(U153:U172)</f>
        <v>0</v>
      </c>
      <c r="V173" s="1157">
        <f t="shared" si="34"/>
        <v>0</v>
      </c>
      <c r="W173" s="1157">
        <f t="shared" si="34"/>
        <v>0</v>
      </c>
      <c r="X173" s="1157">
        <f t="shared" si="34"/>
        <v>0</v>
      </c>
      <c r="Y173" s="1157">
        <f t="shared" si="34"/>
        <v>0</v>
      </c>
      <c r="Z173" s="1164">
        <f t="shared" si="34"/>
        <v>0</v>
      </c>
      <c r="AA173" s="1165">
        <f t="shared" si="34"/>
        <v>0</v>
      </c>
      <c r="AB173" s="1164" t="s">
        <v>26</v>
      </c>
      <c r="AC173" s="1164">
        <f>SUM(AC153:AC172)</f>
        <v>0</v>
      </c>
      <c r="AD173" s="1165">
        <f>SUM(AD153:AD172)</f>
        <v>0</v>
      </c>
      <c r="AE173" s="1157">
        <f>SUM(AE153:AE172)</f>
        <v>0</v>
      </c>
      <c r="AF173" s="1157">
        <f>SUM(AF153:AF172)</f>
        <v>0</v>
      </c>
      <c r="AG173" s="1157" t="s">
        <v>26</v>
      </c>
      <c r="AH173" s="1157">
        <f>SUM(AH153:AH172)</f>
        <v>0</v>
      </c>
      <c r="AI173" s="1157">
        <f>SUM(AI153:AI172)</f>
        <v>0</v>
      </c>
      <c r="AJ173" s="1157"/>
      <c r="AK173" s="1138" t="str">
        <f t="shared" si="29"/>
        <v/>
      </c>
    </row>
    <row r="174" spans="1:39" s="67" customFormat="1" ht="24" hidden="1" customHeight="1" x14ac:dyDescent="0.15">
      <c r="A174" s="159">
        <v>161</v>
      </c>
      <c r="B174" s="1160"/>
      <c r="C174" s="318"/>
      <c r="D174" s="318"/>
      <c r="E174" s="1180"/>
      <c r="F174" s="135"/>
      <c r="G174" s="1181"/>
      <c r="H174" s="1182"/>
      <c r="I174" s="1182"/>
      <c r="J174" s="1183"/>
      <c r="K174" s="1183"/>
      <c r="L174" s="1184"/>
      <c r="M174" s="318"/>
      <c r="N174" s="1185"/>
      <c r="O174" s="320"/>
      <c r="P174" s="362"/>
      <c r="Q174" s="362"/>
      <c r="R174" s="362"/>
      <c r="S174" s="358"/>
      <c r="T174" s="1138" t="s">
        <v>27</v>
      </c>
      <c r="U174" s="1138">
        <f>COUNTIF(D174:D193,"전")</f>
        <v>0</v>
      </c>
      <c r="V174" s="1139">
        <f>COUNTIF(I174:I193,"전")</f>
        <v>0</v>
      </c>
      <c r="W174" s="1138" t="s">
        <v>26</v>
      </c>
      <c r="X174" s="1138">
        <f>SUMIF(D174:D193,"전",F174:F193)</f>
        <v>0</v>
      </c>
      <c r="Y174" s="1139">
        <f>SUMIF(I174:I193,"전",K174:K193)</f>
        <v>0</v>
      </c>
      <c r="Z174" s="1164">
        <f>COUNTIF(AJ174:AJ193,"전국")+COUNTIF(AJ174:AJ193,"전공")</f>
        <v>0</v>
      </c>
      <c r="AA174" s="1165">
        <f>COUNTIF(AK174:AK193,"전국")+COUNTIF(AK174:AK193,"전공")</f>
        <v>0</v>
      </c>
      <c r="AB174" s="1164" t="s">
        <v>26</v>
      </c>
      <c r="AC174" s="1164">
        <f>SUMIF(AJ174:AJ193,"전국",F174:F193)+SUMIF(AJ174:AJ193,"전공",F174:F193)</f>
        <v>0</v>
      </c>
      <c r="AD174" s="1165">
        <f>SUMIF(AK174:AK193,"전국",K174:K193)+SUMIF(AK174:AK193,"전공",K174:K193)</f>
        <v>0</v>
      </c>
      <c r="AE174" s="1138">
        <f t="shared" ref="AE174:AF190" si="35">U174-Z174</f>
        <v>0</v>
      </c>
      <c r="AF174" s="1139">
        <f t="shared" si="35"/>
        <v>0</v>
      </c>
      <c r="AG174" s="1138" t="s">
        <v>26</v>
      </c>
      <c r="AH174" s="1138">
        <f t="shared" ref="AH174:AI190" si="36">X174-AC174</f>
        <v>0</v>
      </c>
      <c r="AI174" s="1139">
        <f t="shared" si="36"/>
        <v>0</v>
      </c>
      <c r="AJ174" s="1138" t="str">
        <f t="shared" ref="AJ174:AJ193" si="37">CONCATENATE(D174,L174)</f>
        <v/>
      </c>
      <c r="AK174" s="1138" t="str">
        <f t="shared" si="29"/>
        <v/>
      </c>
      <c r="AL174" s="66"/>
      <c r="AM174" s="66"/>
    </row>
    <row r="175" spans="1:39" s="67" customFormat="1" ht="24" hidden="1" customHeight="1" x14ac:dyDescent="0.15">
      <c r="A175" s="160">
        <v>162</v>
      </c>
      <c r="B175" s="222"/>
      <c r="C175" s="222"/>
      <c r="D175" s="222"/>
      <c r="E175" s="560"/>
      <c r="F175" s="135"/>
      <c r="G175" s="509"/>
      <c r="H175" s="1186"/>
      <c r="I175" s="346"/>
      <c r="J175" s="569"/>
      <c r="K175" s="569"/>
      <c r="L175" s="204"/>
      <c r="M175" s="204"/>
      <c r="N175" s="433"/>
      <c r="O175" s="433"/>
      <c r="P175" s="203"/>
      <c r="Q175" s="203"/>
      <c r="R175" s="203"/>
      <c r="S175" s="342"/>
      <c r="T175" s="1138" t="s">
        <v>28</v>
      </c>
      <c r="U175" s="1138">
        <f>COUNTIF(D174:D193,"답")</f>
        <v>0</v>
      </c>
      <c r="V175" s="1139">
        <f>COUNTIF(I174:I193,"답")</f>
        <v>0</v>
      </c>
      <c r="W175" s="1138" t="s">
        <v>26</v>
      </c>
      <c r="X175" s="1138">
        <f>SUMIF(D174:D193,"답",F174:F193)</f>
        <v>0</v>
      </c>
      <c r="Y175" s="1139">
        <f>SUMIF(I174:I193,"답",K174:K193)</f>
        <v>0</v>
      </c>
      <c r="Z175" s="1164">
        <f>COUNTIF(AJ174:AJ193,"답국")+COUNTIF(AJ174:AJ193,"답공")</f>
        <v>0</v>
      </c>
      <c r="AA175" s="1165">
        <f>COUNTIF(AK174:AK193,"답국")+COUNTIF(AK174:AK193,"답공")</f>
        <v>0</v>
      </c>
      <c r="AB175" s="1164" t="s">
        <v>26</v>
      </c>
      <c r="AC175" s="1164">
        <f>SUMIF(AJ174:AJ193,"답국",F174:F193)+SUMIF(AJ174:AJ193,"답공",F174:F193)</f>
        <v>0</v>
      </c>
      <c r="AD175" s="1165">
        <f>SUMIF(AK174:AK193,"답국",K174:K193)+SUMIF(AK174:AK193,"답공",K174:K193)</f>
        <v>0</v>
      </c>
      <c r="AE175" s="1138">
        <f t="shared" si="35"/>
        <v>0</v>
      </c>
      <c r="AF175" s="1139">
        <f t="shared" si="35"/>
        <v>0</v>
      </c>
      <c r="AG175" s="1138" t="s">
        <v>26</v>
      </c>
      <c r="AH175" s="1138">
        <f t="shared" si="36"/>
        <v>0</v>
      </c>
      <c r="AI175" s="1139">
        <f t="shared" si="36"/>
        <v>0</v>
      </c>
      <c r="AJ175" s="1138" t="str">
        <f t="shared" si="37"/>
        <v/>
      </c>
      <c r="AK175" s="1138" t="str">
        <f t="shared" si="29"/>
        <v/>
      </c>
      <c r="AL175" s="66"/>
      <c r="AM175" s="66"/>
    </row>
    <row r="176" spans="1:39" s="67" customFormat="1" ht="24" hidden="1" customHeight="1" x14ac:dyDescent="0.15">
      <c r="A176" s="160">
        <v>163</v>
      </c>
      <c r="B176" s="222"/>
      <c r="C176" s="222"/>
      <c r="D176" s="133"/>
      <c r="E176" s="560"/>
      <c r="F176" s="135"/>
      <c r="G176" s="509"/>
      <c r="H176" s="346"/>
      <c r="I176" s="346"/>
      <c r="J176" s="569"/>
      <c r="K176" s="569"/>
      <c r="L176" s="222"/>
      <c r="M176" s="222"/>
      <c r="N176" s="226"/>
      <c r="O176" s="226"/>
      <c r="P176" s="203"/>
      <c r="Q176" s="203"/>
      <c r="R176" s="203"/>
      <c r="S176" s="342"/>
      <c r="T176" s="1138" t="s">
        <v>44</v>
      </c>
      <c r="U176" s="1138">
        <f>COUNTIF(D174:D193,"임")</f>
        <v>0</v>
      </c>
      <c r="V176" s="1139">
        <f>COUNTIF(I174:I193,"임")</f>
        <v>0</v>
      </c>
      <c r="W176" s="1138" t="s">
        <v>26</v>
      </c>
      <c r="X176" s="1138">
        <f>SUMIF(D174:D193,"임",F174:F193)</f>
        <v>0</v>
      </c>
      <c r="Y176" s="1139">
        <f>SUMIF(I174:I193,"임",K174:K193)</f>
        <v>0</v>
      </c>
      <c r="Z176" s="1164">
        <f>COUNTIF(AJ174:AJ193,"임국")+COUNTIF(AJ174:AJ193,"임공")</f>
        <v>0</v>
      </c>
      <c r="AA176" s="1165">
        <f>COUNTIF(AK174:AK193,"임국")+COUNTIF(AK174:AK193,"임공")</f>
        <v>0</v>
      </c>
      <c r="AB176" s="1164" t="s">
        <v>26</v>
      </c>
      <c r="AC176" s="1164">
        <f>SUMIF(AJ174:AJ193,"임국",F174:F193)+SUMIF(AJ174:AJ193,"임공",F174:F193)</f>
        <v>0</v>
      </c>
      <c r="AD176" s="1165">
        <f>SUMIF(AK174:AK193,"임국",K174:K193)+SUMIF(AK174:AK193,"임공",K174:K193)</f>
        <v>0</v>
      </c>
      <c r="AE176" s="1138">
        <f t="shared" si="35"/>
        <v>0</v>
      </c>
      <c r="AF176" s="1139">
        <f t="shared" si="35"/>
        <v>0</v>
      </c>
      <c r="AG176" s="1138" t="s">
        <v>26</v>
      </c>
      <c r="AH176" s="1138">
        <f t="shared" si="36"/>
        <v>0</v>
      </c>
      <c r="AI176" s="1139">
        <f t="shared" si="36"/>
        <v>0</v>
      </c>
      <c r="AJ176" s="1138" t="str">
        <f t="shared" si="37"/>
        <v/>
      </c>
      <c r="AK176" s="1138" t="str">
        <f t="shared" si="29"/>
        <v/>
      </c>
      <c r="AL176" s="66"/>
      <c r="AM176" s="66"/>
    </row>
    <row r="177" spans="1:39" s="67" customFormat="1" ht="24" hidden="1" customHeight="1" x14ac:dyDescent="0.15">
      <c r="A177" s="160">
        <v>164</v>
      </c>
      <c r="B177" s="222"/>
      <c r="C177" s="222"/>
      <c r="D177" s="133"/>
      <c r="E177" s="560"/>
      <c r="F177" s="135"/>
      <c r="G177" s="509"/>
      <c r="H177" s="1186"/>
      <c r="I177" s="346"/>
      <c r="J177" s="569"/>
      <c r="K177" s="569"/>
      <c r="L177" s="222"/>
      <c r="M177" s="222"/>
      <c r="N177" s="226"/>
      <c r="O177" s="226"/>
      <c r="P177" s="203"/>
      <c r="Q177" s="203"/>
      <c r="R177" s="203"/>
      <c r="S177" s="342"/>
      <c r="T177" s="1138" t="s">
        <v>45</v>
      </c>
      <c r="U177" s="1138">
        <f>COUNTIF(D174:D193,"대")</f>
        <v>0</v>
      </c>
      <c r="V177" s="1139">
        <f>COUNTIF(I174:I193,"대")</f>
        <v>0</v>
      </c>
      <c r="W177" s="1138" t="s">
        <v>26</v>
      </c>
      <c r="X177" s="1138">
        <f>SUMIF(D174:D193,"대",F174:F193)</f>
        <v>0</v>
      </c>
      <c r="Y177" s="1139">
        <f>SUMIF(I174:I193,"대",K174:K193)</f>
        <v>0</v>
      </c>
      <c r="Z177" s="1164">
        <f>COUNTIF(AJ174:AJ193,"대국")+COUNTIF(AJ174:AJ193,"대공")</f>
        <v>0</v>
      </c>
      <c r="AA177" s="1165">
        <f>COUNTIF(AK174:AK193,"대국")+COUNTIF(AK174:AK193,"대공")</f>
        <v>0</v>
      </c>
      <c r="AB177" s="1164" t="s">
        <v>26</v>
      </c>
      <c r="AC177" s="1164">
        <f>SUMIF(AJ174:AJ193,"대국",F174:F193)+SUMIF(AJ174:AJ193,"대공",F174:F193)</f>
        <v>0</v>
      </c>
      <c r="AD177" s="1165">
        <f>SUMIF(AK174:AK193,"대국",K174:K193)+SUMIF(AK174:AK193,"대공",K174:K193)</f>
        <v>0</v>
      </c>
      <c r="AE177" s="1138">
        <f t="shared" si="35"/>
        <v>0</v>
      </c>
      <c r="AF177" s="1139">
        <f t="shared" si="35"/>
        <v>0</v>
      </c>
      <c r="AG177" s="1138" t="s">
        <v>26</v>
      </c>
      <c r="AH177" s="1138">
        <f t="shared" si="36"/>
        <v>0</v>
      </c>
      <c r="AI177" s="1139">
        <f t="shared" si="36"/>
        <v>0</v>
      </c>
      <c r="AJ177" s="1138" t="str">
        <f t="shared" si="37"/>
        <v/>
      </c>
      <c r="AK177" s="1138" t="str">
        <f t="shared" si="29"/>
        <v/>
      </c>
      <c r="AL177" s="66"/>
      <c r="AM177" s="66"/>
    </row>
    <row r="178" spans="1:39" s="67" customFormat="1" ht="24" hidden="1" customHeight="1" x14ac:dyDescent="0.15">
      <c r="A178" s="160">
        <v>165</v>
      </c>
      <c r="B178" s="222"/>
      <c r="C178" s="257"/>
      <c r="D178" s="222"/>
      <c r="E178" s="560"/>
      <c r="F178" s="135"/>
      <c r="G178" s="509"/>
      <c r="H178" s="1187"/>
      <c r="I178" s="346"/>
      <c r="J178" s="569"/>
      <c r="K178" s="569"/>
      <c r="L178" s="204"/>
      <c r="M178" s="204"/>
      <c r="N178" s="433"/>
      <c r="O178" s="433"/>
      <c r="P178" s="203"/>
      <c r="Q178" s="203"/>
      <c r="R178" s="203"/>
      <c r="S178" s="342"/>
      <c r="T178" s="1138" t="s">
        <v>31</v>
      </c>
      <c r="U178" s="1138">
        <f>COUNTIF(D174:D193,"도")</f>
        <v>0</v>
      </c>
      <c r="V178" s="1139">
        <f>COUNTIF(I174:I193,"도")</f>
        <v>0</v>
      </c>
      <c r="W178" s="1138" t="s">
        <v>26</v>
      </c>
      <c r="X178" s="1138">
        <f>SUMIF(D174:D193,"도",F174:F193)</f>
        <v>0</v>
      </c>
      <c r="Y178" s="1139">
        <f>SUMIF(I174:I193,"도",K174:K193)</f>
        <v>0</v>
      </c>
      <c r="Z178" s="1164">
        <f>COUNTIF(AJ174:AJ193,"도국")+COUNTIF(AJ174:AJ193,"도공")</f>
        <v>0</v>
      </c>
      <c r="AA178" s="1165">
        <f>COUNTIF(AK174:AK193,"도국")+COUNTIF(AK174:AK193,"도공")</f>
        <v>0</v>
      </c>
      <c r="AB178" s="1164" t="s">
        <v>26</v>
      </c>
      <c r="AC178" s="1164">
        <f>SUMIF(AJ174:AJ193,"도국",F174:F193)+SUMIF(AJ174:AJ193,"도공",F174:F193)</f>
        <v>0</v>
      </c>
      <c r="AD178" s="1165">
        <f>SUMIF(AK174:AK193,"도국",K174:K193)+SUMIF(AK174:AK193,"도공",K174:K193)</f>
        <v>0</v>
      </c>
      <c r="AE178" s="1138">
        <f t="shared" si="35"/>
        <v>0</v>
      </c>
      <c r="AF178" s="1139">
        <f t="shared" si="35"/>
        <v>0</v>
      </c>
      <c r="AG178" s="1138" t="s">
        <v>26</v>
      </c>
      <c r="AH178" s="1138">
        <f t="shared" si="36"/>
        <v>0</v>
      </c>
      <c r="AI178" s="1139">
        <f t="shared" si="36"/>
        <v>0</v>
      </c>
      <c r="AJ178" s="1138" t="str">
        <f t="shared" si="37"/>
        <v/>
      </c>
      <c r="AK178" s="1138" t="str">
        <f t="shared" si="29"/>
        <v/>
      </c>
      <c r="AL178" s="66"/>
      <c r="AM178" s="66"/>
    </row>
    <row r="179" spans="1:39" s="67" customFormat="1" ht="24" hidden="1" customHeight="1" x14ac:dyDescent="0.15">
      <c r="A179" s="160">
        <v>166</v>
      </c>
      <c r="B179" s="222"/>
      <c r="C179" s="222"/>
      <c r="D179" s="222"/>
      <c r="E179" s="560"/>
      <c r="F179" s="135"/>
      <c r="G179" s="509"/>
      <c r="H179" s="346"/>
      <c r="I179" s="346"/>
      <c r="J179" s="569"/>
      <c r="K179" s="569"/>
      <c r="L179" s="204"/>
      <c r="M179" s="204"/>
      <c r="N179" s="433"/>
      <c r="O179" s="433"/>
      <c r="P179" s="203"/>
      <c r="Q179" s="203"/>
      <c r="R179" s="203"/>
      <c r="S179" s="342"/>
      <c r="T179" s="1138" t="s">
        <v>32</v>
      </c>
      <c r="U179" s="1140">
        <f>COUNTIF(D174:D193,"천")</f>
        <v>0</v>
      </c>
      <c r="V179" s="1141">
        <f>COUNTIF(I174:I193,"천")</f>
        <v>0</v>
      </c>
      <c r="W179" s="1138" t="s">
        <v>26</v>
      </c>
      <c r="X179" s="1138">
        <f>SUMIF(D174:D193,"천",F174:F193)</f>
        <v>0</v>
      </c>
      <c r="Y179" s="1139">
        <f>SUMIF(I174:I193,"천",K174:K193)</f>
        <v>0</v>
      </c>
      <c r="Z179" s="1164">
        <f>COUNTIF(AJ174:AJ193,"천국")+COUNTIF(AJ174:AJ193,"천공")</f>
        <v>0</v>
      </c>
      <c r="AA179" s="1165">
        <f>COUNTIF(AK174:AK193,"천국")+COUNTIF(AK174:AK193,"천공")</f>
        <v>0</v>
      </c>
      <c r="AB179" s="1164" t="s">
        <v>26</v>
      </c>
      <c r="AC179" s="1164">
        <f>SUMIF(AJ174:AJ193,"천국",F174:F193)+SUMIF(AJ174:AJ193,"천공",F174:F193)</f>
        <v>0</v>
      </c>
      <c r="AD179" s="1165">
        <f>SUMIF(AK174:AK193,"천국",K174:K193)+SUMIF(AK174:AK193,"천공",K174:K193)</f>
        <v>0</v>
      </c>
      <c r="AE179" s="1138">
        <f t="shared" si="35"/>
        <v>0</v>
      </c>
      <c r="AF179" s="1139">
        <f t="shared" si="35"/>
        <v>0</v>
      </c>
      <c r="AG179" s="1138" t="s">
        <v>26</v>
      </c>
      <c r="AH179" s="1138">
        <f t="shared" si="36"/>
        <v>0</v>
      </c>
      <c r="AI179" s="1139">
        <f t="shared" si="36"/>
        <v>0</v>
      </c>
      <c r="AJ179" s="1138" t="str">
        <f t="shared" si="37"/>
        <v/>
      </c>
      <c r="AK179" s="1138" t="str">
        <f t="shared" si="29"/>
        <v/>
      </c>
      <c r="AL179" s="66"/>
      <c r="AM179" s="66"/>
    </row>
    <row r="180" spans="1:39" s="67" customFormat="1" ht="24" hidden="1" customHeight="1" x14ac:dyDescent="0.15">
      <c r="A180" s="160">
        <v>167</v>
      </c>
      <c r="B180" s="222"/>
      <c r="C180" s="222"/>
      <c r="D180" s="222"/>
      <c r="E180" s="560"/>
      <c r="F180" s="135"/>
      <c r="G180" s="509"/>
      <c r="H180" s="346"/>
      <c r="I180" s="346"/>
      <c r="J180" s="569"/>
      <c r="K180" s="569"/>
      <c r="L180" s="204"/>
      <c r="M180" s="204"/>
      <c r="N180" s="433"/>
      <c r="O180" s="433"/>
      <c r="P180" s="203"/>
      <c r="Q180" s="1188"/>
      <c r="R180" s="203"/>
      <c r="S180" s="342"/>
      <c r="T180" s="1138" t="s">
        <v>33</v>
      </c>
      <c r="U180" s="1138">
        <f>COUNTIF(D174:D193,"구")</f>
        <v>0</v>
      </c>
      <c r="V180" s="1139">
        <f>COUNTIF(I174:I193,"구")</f>
        <v>0</v>
      </c>
      <c r="W180" s="1138" t="s">
        <v>26</v>
      </c>
      <c r="X180" s="1138">
        <f>SUMIF(D174:D193,"구",F174:F193)</f>
        <v>0</v>
      </c>
      <c r="Y180" s="1139">
        <f>SUMIF(I174:I193,"구",K174:K193)</f>
        <v>0</v>
      </c>
      <c r="Z180" s="1164">
        <f>COUNTIF(AJ174:AJ193,"구국")+COUNTIF(AJ174:AJ193,"구공")</f>
        <v>0</v>
      </c>
      <c r="AA180" s="1165">
        <f>COUNTIF(AK174:AK193,"구국")+COUNTIF(AK174:AK193,"구공")</f>
        <v>0</v>
      </c>
      <c r="AB180" s="1164" t="s">
        <v>26</v>
      </c>
      <c r="AC180" s="1164">
        <f>SUMIF(AJ174:AJ193,"구국",F174:F193)+SUMIF(AJ174:AJ193,"구공",F174:F193)</f>
        <v>0</v>
      </c>
      <c r="AD180" s="1165">
        <f>SUMIF(AK174:AK193,"구국",K174:K193)+SUMIF(AK174:AK193,"구공",K174:K193)</f>
        <v>0</v>
      </c>
      <c r="AE180" s="1138">
        <f t="shared" si="35"/>
        <v>0</v>
      </c>
      <c r="AF180" s="1139">
        <f t="shared" si="35"/>
        <v>0</v>
      </c>
      <c r="AG180" s="1138" t="s">
        <v>26</v>
      </c>
      <c r="AH180" s="1138">
        <f t="shared" si="36"/>
        <v>0</v>
      </c>
      <c r="AI180" s="1139">
        <f t="shared" si="36"/>
        <v>0</v>
      </c>
      <c r="AJ180" s="1138" t="str">
        <f t="shared" si="37"/>
        <v/>
      </c>
      <c r="AK180" s="1138" t="str">
        <f t="shared" si="29"/>
        <v/>
      </c>
      <c r="AL180" s="66"/>
      <c r="AM180" s="66"/>
    </row>
    <row r="181" spans="1:39" s="67" customFormat="1" ht="24" hidden="1" customHeight="1" x14ac:dyDescent="0.15">
      <c r="A181" s="160">
        <v>168</v>
      </c>
      <c r="B181" s="222"/>
      <c r="C181" s="222"/>
      <c r="D181" s="222"/>
      <c r="E181" s="560"/>
      <c r="F181" s="135"/>
      <c r="G181" s="509"/>
      <c r="H181" s="346"/>
      <c r="I181" s="346"/>
      <c r="J181" s="569"/>
      <c r="K181" s="569"/>
      <c r="L181" s="204"/>
      <c r="M181" s="222"/>
      <c r="N181" s="433"/>
      <c r="O181" s="433"/>
      <c r="P181" s="203"/>
      <c r="Q181" s="203"/>
      <c r="R181" s="203"/>
      <c r="S181" s="342"/>
      <c r="T181" s="1138" t="s">
        <v>34</v>
      </c>
      <c r="U181" s="1138">
        <f>COUNTIF(D174:D193,"제")</f>
        <v>0</v>
      </c>
      <c r="V181" s="1139">
        <f>COUNTIF(I174:I193,"제")</f>
        <v>0</v>
      </c>
      <c r="W181" s="1138" t="s">
        <v>26</v>
      </c>
      <c r="X181" s="1138">
        <f>SUMIF(D174:D193,"제",F174:F193)</f>
        <v>0</v>
      </c>
      <c r="Y181" s="1139">
        <f>SUMIF(I174:I193,"제",K174:K193)</f>
        <v>0</v>
      </c>
      <c r="Z181" s="1164">
        <f>COUNTIF(AJ174:AJ193,"제국")+COUNTIF(AJ174:AJ193,"제공")</f>
        <v>0</v>
      </c>
      <c r="AA181" s="1165">
        <f>COUNTIF(AK174:AK193,"제국")+COUNTIF(AK174:AK193,"제공")</f>
        <v>0</v>
      </c>
      <c r="AB181" s="1164" t="s">
        <v>26</v>
      </c>
      <c r="AC181" s="1164">
        <f>SUMIF(AJ174:AJ193,"제국",F174:F193)+SUMIF(AJ174:AJ193,"제공",F174:F193)</f>
        <v>0</v>
      </c>
      <c r="AD181" s="1165">
        <f>SUMIF(AK174:AK193,"제국",K174:K193)+SUMIF(AK174:AK193,"제공",K174:K193)</f>
        <v>0</v>
      </c>
      <c r="AE181" s="1138">
        <f t="shared" si="35"/>
        <v>0</v>
      </c>
      <c r="AF181" s="1139">
        <f t="shared" si="35"/>
        <v>0</v>
      </c>
      <c r="AG181" s="1138" t="s">
        <v>26</v>
      </c>
      <c r="AH181" s="1138">
        <f t="shared" si="36"/>
        <v>0</v>
      </c>
      <c r="AI181" s="1139">
        <f t="shared" si="36"/>
        <v>0</v>
      </c>
      <c r="AJ181" s="1138" t="str">
        <f t="shared" si="37"/>
        <v/>
      </c>
      <c r="AK181" s="1138" t="str">
        <f t="shared" si="29"/>
        <v/>
      </c>
      <c r="AL181" s="66"/>
      <c r="AM181" s="66"/>
    </row>
    <row r="182" spans="1:39" s="67" customFormat="1" ht="24" hidden="1" customHeight="1" x14ac:dyDescent="0.15">
      <c r="A182" s="160">
        <v>169</v>
      </c>
      <c r="B182" s="222"/>
      <c r="C182" s="222"/>
      <c r="D182" s="222"/>
      <c r="E182" s="560"/>
      <c r="F182" s="135"/>
      <c r="G182" s="600"/>
      <c r="H182" s="1189"/>
      <c r="I182" s="1176"/>
      <c r="J182" s="1177"/>
      <c r="K182" s="1177"/>
      <c r="L182" s="1170"/>
      <c r="M182" s="1166"/>
      <c r="N182" s="1171"/>
      <c r="O182" s="1171"/>
      <c r="P182" s="203"/>
      <c r="Q182" s="203"/>
      <c r="R182" s="203"/>
      <c r="S182" s="342"/>
      <c r="T182" s="1138" t="s">
        <v>46</v>
      </c>
      <c r="U182" s="1138">
        <f>COUNTIF(D174:D193,"유")</f>
        <v>0</v>
      </c>
      <c r="V182" s="1139">
        <f>COUNTIF(I174:I193,"유")</f>
        <v>0</v>
      </c>
      <c r="W182" s="1138" t="s">
        <v>26</v>
      </c>
      <c r="X182" s="1138">
        <f>SUMIF(D174:D193,"유",F174:F193)</f>
        <v>0</v>
      </c>
      <c r="Y182" s="1139">
        <f>SUMIF(I174:I193,"유",K174:K193)</f>
        <v>0</v>
      </c>
      <c r="Z182" s="1164">
        <f>COUNTIF(AJ174:AJ193,"유국")+COUNTIF(AJ174:AJ193,"유공")</f>
        <v>0</v>
      </c>
      <c r="AA182" s="1165">
        <f>COUNTIF(AK174:AK193,"유국")+COUNTIF(AK174:AK193,"유공")</f>
        <v>0</v>
      </c>
      <c r="AB182" s="1164" t="s">
        <v>26</v>
      </c>
      <c r="AC182" s="1164">
        <f>SUMIF(AJ174:AJ193,"유국",F174:F193)+SUMIF(AJ174:AJ193,"유공",F174:F193)</f>
        <v>0</v>
      </c>
      <c r="AD182" s="1165">
        <f>SUMIF(AK174:AK193,"유국",K174:K193)+SUMIF(AK174:AK193,"유공",K174:K193)</f>
        <v>0</v>
      </c>
      <c r="AE182" s="1138">
        <f t="shared" si="35"/>
        <v>0</v>
      </c>
      <c r="AF182" s="1139">
        <f t="shared" si="35"/>
        <v>0</v>
      </c>
      <c r="AG182" s="1138" t="s">
        <v>26</v>
      </c>
      <c r="AH182" s="1138">
        <f t="shared" si="36"/>
        <v>0</v>
      </c>
      <c r="AI182" s="1139">
        <f t="shared" si="36"/>
        <v>0</v>
      </c>
      <c r="AJ182" s="1138" t="str">
        <f t="shared" si="37"/>
        <v/>
      </c>
      <c r="AK182" s="1138" t="str">
        <f t="shared" si="29"/>
        <v/>
      </c>
      <c r="AL182" s="66"/>
      <c r="AM182" s="66"/>
    </row>
    <row r="183" spans="1:39" s="67" customFormat="1" ht="24" hidden="1" customHeight="1" x14ac:dyDescent="0.15">
      <c r="A183" s="160">
        <v>170</v>
      </c>
      <c r="B183" s="222"/>
      <c r="C183" s="1190"/>
      <c r="D183" s="1166"/>
      <c r="E183" s="1167"/>
      <c r="F183" s="135"/>
      <c r="G183" s="417"/>
      <c r="H183" s="346"/>
      <c r="I183" s="346"/>
      <c r="J183" s="569"/>
      <c r="K183" s="569"/>
      <c r="L183" s="222"/>
      <c r="M183" s="204"/>
      <c r="N183" s="226"/>
      <c r="O183" s="433"/>
      <c r="P183" s="203"/>
      <c r="Q183" s="203"/>
      <c r="R183" s="203"/>
      <c r="S183" s="342"/>
      <c r="T183" s="1138" t="s">
        <v>47</v>
      </c>
      <c r="U183" s="1138">
        <f>COUNTIF(D174:D193,"과")</f>
        <v>0</v>
      </c>
      <c r="V183" s="1139">
        <f>COUNTIF(I174:I193,"과")</f>
        <v>0</v>
      </c>
      <c r="W183" s="1138" t="s">
        <v>26</v>
      </c>
      <c r="X183" s="1138">
        <f>SUMIF(D174:D193,"과",F174:F193)</f>
        <v>0</v>
      </c>
      <c r="Y183" s="1139">
        <f>SUMIF(I174:I193,"과",K174:K193)</f>
        <v>0</v>
      </c>
      <c r="Z183" s="1164">
        <f>COUNTIF(AJ174:AJ193,"과국")+COUNTIF(AJ174:AJ193,"과공")</f>
        <v>0</v>
      </c>
      <c r="AA183" s="1165">
        <f>COUNTIF(AK174:AK193,"과국")+COUNTIF(AK174:AK193,"과공")</f>
        <v>0</v>
      </c>
      <c r="AB183" s="1164" t="s">
        <v>26</v>
      </c>
      <c r="AC183" s="1164">
        <f>SUMIF(AJ174:AJ193,"과국",F174:F193)+SUMIF(AJ174:AJ193,"과공",F174:F193)</f>
        <v>0</v>
      </c>
      <c r="AD183" s="1165">
        <f>SUMIF(AK174:AK193,"과국",K174:K193)+SUMIF(AK174:AK193,"과공",K174:K193)</f>
        <v>0</v>
      </c>
      <c r="AE183" s="1138">
        <f t="shared" si="35"/>
        <v>0</v>
      </c>
      <c r="AF183" s="1139">
        <f t="shared" si="35"/>
        <v>0</v>
      </c>
      <c r="AG183" s="1138" t="s">
        <v>26</v>
      </c>
      <c r="AH183" s="1138">
        <f t="shared" si="36"/>
        <v>0</v>
      </c>
      <c r="AI183" s="1139">
        <f t="shared" si="36"/>
        <v>0</v>
      </c>
      <c r="AJ183" s="1138" t="str">
        <f t="shared" si="37"/>
        <v/>
      </c>
      <c r="AK183" s="1138" t="str">
        <f t="shared" si="29"/>
        <v/>
      </c>
      <c r="AL183" s="66"/>
      <c r="AM183" s="66"/>
    </row>
    <row r="184" spans="1:39" s="67" customFormat="1" ht="24" hidden="1" customHeight="1" x14ac:dyDescent="0.15">
      <c r="A184" s="160">
        <v>171</v>
      </c>
      <c r="B184" s="222"/>
      <c r="C184" s="1191"/>
      <c r="D184" s="222"/>
      <c r="E184" s="560"/>
      <c r="F184" s="135"/>
      <c r="G184" s="417"/>
      <c r="H184" s="503"/>
      <c r="I184" s="346"/>
      <c r="J184" s="569"/>
      <c r="K184" s="569"/>
      <c r="L184" s="222"/>
      <c r="M184" s="204"/>
      <c r="N184" s="226"/>
      <c r="O184" s="433"/>
      <c r="P184" s="203"/>
      <c r="Q184" s="203"/>
      <c r="R184" s="203"/>
      <c r="S184" s="342"/>
      <c r="T184" s="1138" t="s">
        <v>36</v>
      </c>
      <c r="U184" s="1138">
        <f>COUNTIF(D174:D193,"묘")</f>
        <v>0</v>
      </c>
      <c r="V184" s="1139">
        <f>COUNTIF(I174:I193,"묘")</f>
        <v>0</v>
      </c>
      <c r="W184" s="1138" t="s">
        <v>26</v>
      </c>
      <c r="X184" s="1138">
        <f>SUMIF(D174:D193,"묘",F174:F193)</f>
        <v>0</v>
      </c>
      <c r="Y184" s="1139">
        <f>SUMIF(I174:I193,"묘",K174:K193)</f>
        <v>0</v>
      </c>
      <c r="Z184" s="1164">
        <f>COUNTIF(AJ174:AJ193,"묘국")+COUNTIF(AJ174:AJ193,"묘공")</f>
        <v>0</v>
      </c>
      <c r="AA184" s="1165">
        <f>COUNTIF(AK174:AK193,"묘국")+COUNTIF(AK174:AK193,"묘공")</f>
        <v>0</v>
      </c>
      <c r="AB184" s="1164" t="s">
        <v>26</v>
      </c>
      <c r="AC184" s="1164">
        <f>SUMIF(AJ174:AJ193,"묘국",F174:F193)+SUMIF(AJ174:AJ193,"묘공",F174:F193)</f>
        <v>0</v>
      </c>
      <c r="AD184" s="1165">
        <f>SUMIF(AK174:AK193,"묘국",K174:K193)+SUMIF(AK174:AK193,"묘공",K174:K193)</f>
        <v>0</v>
      </c>
      <c r="AE184" s="1138">
        <f t="shared" si="35"/>
        <v>0</v>
      </c>
      <c r="AF184" s="1139">
        <f t="shared" si="35"/>
        <v>0</v>
      </c>
      <c r="AG184" s="1138" t="s">
        <v>26</v>
      </c>
      <c r="AH184" s="1138">
        <f t="shared" si="36"/>
        <v>0</v>
      </c>
      <c r="AI184" s="1139">
        <f t="shared" si="36"/>
        <v>0</v>
      </c>
      <c r="AJ184" s="1138" t="str">
        <f t="shared" si="37"/>
        <v/>
      </c>
      <c r="AK184" s="1138" t="str">
        <f t="shared" si="29"/>
        <v/>
      </c>
      <c r="AL184" s="66"/>
      <c r="AM184" s="66"/>
    </row>
    <row r="185" spans="1:39" s="67" customFormat="1" ht="24" hidden="1" customHeight="1" x14ac:dyDescent="0.15">
      <c r="A185" s="160">
        <v>172</v>
      </c>
      <c r="B185" s="222"/>
      <c r="C185" s="323"/>
      <c r="D185" s="222"/>
      <c r="E185" s="560"/>
      <c r="F185" s="135"/>
      <c r="G185" s="417"/>
      <c r="H185" s="503"/>
      <c r="I185" s="346"/>
      <c r="J185" s="569"/>
      <c r="K185" s="569"/>
      <c r="L185" s="222"/>
      <c r="M185" s="204"/>
      <c r="N185" s="226"/>
      <c r="O185" s="433"/>
      <c r="P185" s="203"/>
      <c r="Q185" s="203"/>
      <c r="R185" s="203"/>
      <c r="S185" s="342"/>
      <c r="T185" s="1138" t="s">
        <v>39</v>
      </c>
      <c r="U185" s="1138">
        <f>COUNTIF(D174:D193,"수")</f>
        <v>0</v>
      </c>
      <c r="V185" s="1139">
        <f>COUNTIF(I174:I193,"수")</f>
        <v>0</v>
      </c>
      <c r="W185" s="1138" t="s">
        <v>26</v>
      </c>
      <c r="X185" s="1138">
        <f>SUMIF(D174:D193,"수",F174:F193)</f>
        <v>0</v>
      </c>
      <c r="Y185" s="1139">
        <f>SUMIF(I174:I193,"수",K174:K193)</f>
        <v>0</v>
      </c>
      <c r="Z185" s="1164">
        <f>COUNTIF(AJ174:AJ193,"수국")+COUNTIF(AJ174:AJ193,"수공")</f>
        <v>0</v>
      </c>
      <c r="AA185" s="1165">
        <f>COUNTIF(AK174:AK193,"수국")+COUNTIF(AK174:AK193,"수공")</f>
        <v>0</v>
      </c>
      <c r="AB185" s="1164" t="s">
        <v>26</v>
      </c>
      <c r="AC185" s="1164">
        <f>SUMIF(AJ174:AJ193,"수국",F174:F193)+SUMIF(AJ174:AJ193,"수공",F174:F193)</f>
        <v>0</v>
      </c>
      <c r="AD185" s="1165">
        <f>SUMIF(AK174:AK193,"수국",K174:K193)+SUMIF(AK174:AK193,"수공",K174:K193)</f>
        <v>0</v>
      </c>
      <c r="AE185" s="1138">
        <f t="shared" si="35"/>
        <v>0</v>
      </c>
      <c r="AF185" s="1139">
        <f t="shared" si="35"/>
        <v>0</v>
      </c>
      <c r="AG185" s="1138" t="s">
        <v>26</v>
      </c>
      <c r="AH185" s="1138">
        <f t="shared" si="36"/>
        <v>0</v>
      </c>
      <c r="AI185" s="1139">
        <f t="shared" si="36"/>
        <v>0</v>
      </c>
      <c r="AJ185" s="1138" t="str">
        <f t="shared" si="37"/>
        <v/>
      </c>
      <c r="AK185" s="1138" t="str">
        <f t="shared" si="29"/>
        <v/>
      </c>
      <c r="AL185" s="66"/>
      <c r="AM185" s="66"/>
    </row>
    <row r="186" spans="1:39" s="67" customFormat="1" ht="24" hidden="1" customHeight="1" x14ac:dyDescent="0.15">
      <c r="A186" s="160">
        <v>173</v>
      </c>
      <c r="B186" s="222"/>
      <c r="C186" s="1191"/>
      <c r="D186" s="222"/>
      <c r="E186" s="560"/>
      <c r="F186" s="135"/>
      <c r="G186" s="417"/>
      <c r="H186" s="503"/>
      <c r="I186" s="346"/>
      <c r="J186" s="569"/>
      <c r="K186" s="569"/>
      <c r="L186" s="204"/>
      <c r="M186" s="204"/>
      <c r="N186" s="433"/>
      <c r="O186" s="433"/>
      <c r="P186" s="203"/>
      <c r="Q186" s="203"/>
      <c r="R186" s="203"/>
      <c r="S186" s="342"/>
      <c r="T186" s="1138" t="s">
        <v>35</v>
      </c>
      <c r="U186" s="1138">
        <f>COUNTIF(D174:D193,"잡")</f>
        <v>0</v>
      </c>
      <c r="V186" s="1139">
        <f>COUNTIF(I174:I193,"잡")</f>
        <v>0</v>
      </c>
      <c r="W186" s="1138" t="s">
        <v>26</v>
      </c>
      <c r="X186" s="1138">
        <f>SUMIF(D174:D193,"잡",F174:F193)</f>
        <v>0</v>
      </c>
      <c r="Y186" s="1139">
        <f>SUMIF(I174:I193,"잡",K174:K193)</f>
        <v>0</v>
      </c>
      <c r="Z186" s="1164">
        <f>COUNTIF(AJ174:AJ193,"잡국")+COUNTIF(AJ174:AJ193,"잡공")</f>
        <v>0</v>
      </c>
      <c r="AA186" s="1165">
        <f>COUNTIF(AK174:AK193,"잡국")+COUNTIF(AK174:AK193,"잡공")</f>
        <v>0</v>
      </c>
      <c r="AB186" s="1164" t="s">
        <v>26</v>
      </c>
      <c r="AC186" s="1164">
        <f>SUMIF(AJ174:AJ193,"잡국",F174:F193)+SUMIF(AJ174:AJ193,"잡공",F174:F193)</f>
        <v>0</v>
      </c>
      <c r="AD186" s="1165">
        <f>SUMIF(AK174:AK193,"잡국",K174:K193)+SUMIF(AK174:AK193,"잡공",K174:K193)</f>
        <v>0</v>
      </c>
      <c r="AE186" s="1138">
        <f t="shared" si="35"/>
        <v>0</v>
      </c>
      <c r="AF186" s="1139">
        <f t="shared" si="35"/>
        <v>0</v>
      </c>
      <c r="AG186" s="1138" t="s">
        <v>26</v>
      </c>
      <c r="AH186" s="1138">
        <f t="shared" si="36"/>
        <v>0</v>
      </c>
      <c r="AI186" s="1139">
        <f t="shared" si="36"/>
        <v>0</v>
      </c>
      <c r="AJ186" s="1138" t="str">
        <f t="shared" si="37"/>
        <v/>
      </c>
      <c r="AK186" s="1138" t="str">
        <f t="shared" si="29"/>
        <v/>
      </c>
      <c r="AL186" s="66"/>
      <c r="AM186" s="66"/>
    </row>
    <row r="187" spans="1:39" s="67" customFormat="1" ht="24" hidden="1" customHeight="1" x14ac:dyDescent="0.15">
      <c r="A187" s="160">
        <v>174</v>
      </c>
      <c r="B187" s="222"/>
      <c r="C187" s="223"/>
      <c r="D187" s="222"/>
      <c r="E187" s="560"/>
      <c r="F187" s="135"/>
      <c r="G187" s="417"/>
      <c r="H187" s="346"/>
      <c r="I187" s="346"/>
      <c r="J187" s="569"/>
      <c r="K187" s="569"/>
      <c r="L187" s="222"/>
      <c r="M187" s="204"/>
      <c r="N187" s="226"/>
      <c r="O187" s="433"/>
      <c r="P187" s="203"/>
      <c r="Q187" s="203"/>
      <c r="R187" s="203"/>
      <c r="S187" s="342"/>
      <c r="T187" s="1138" t="s">
        <v>221</v>
      </c>
      <c r="U187" s="1138">
        <f>COUNTIF(D174:D193,"창")</f>
        <v>0</v>
      </c>
      <c r="V187" s="1139">
        <f>COUNTIF(I174:I193,"창")</f>
        <v>0</v>
      </c>
      <c r="W187" s="1138" t="s">
        <v>26</v>
      </c>
      <c r="X187" s="1138">
        <f>SUMIF(D174:D193,"창",F174:F193)</f>
        <v>0</v>
      </c>
      <c r="Y187" s="1139">
        <f>SUMIF(I174:I193,"창",K174:K193)</f>
        <v>0</v>
      </c>
      <c r="Z187" s="1164">
        <f>COUNTIF(AJ174:AJ193,"창국")+COUNTIF(AJ174:AJ193,"창공")</f>
        <v>0</v>
      </c>
      <c r="AA187" s="1165">
        <f>COUNTIF(AK174:AK193,"창국")+COUNTIF(AK174:AK193,"창공")</f>
        <v>0</v>
      </c>
      <c r="AB187" s="1164" t="s">
        <v>26</v>
      </c>
      <c r="AC187" s="1164">
        <f>SUMIF(AJ174:AJ193,"창국",F174:F193)+SUMIF(AJ174:AJ193,"창공",F174:F193)</f>
        <v>0</v>
      </c>
      <c r="AD187" s="1165">
        <f>SUMIF(AK174:AK193,"창국",K174:K193)+SUMIF(AK174:AK193,"창공",K174:K193)</f>
        <v>0</v>
      </c>
      <c r="AE187" s="1138">
        <f t="shared" si="35"/>
        <v>0</v>
      </c>
      <c r="AF187" s="1139">
        <f t="shared" si="35"/>
        <v>0</v>
      </c>
      <c r="AG187" s="1138" t="s">
        <v>26</v>
      </c>
      <c r="AH187" s="1138">
        <f t="shared" si="36"/>
        <v>0</v>
      </c>
      <c r="AI187" s="1139">
        <f t="shared" si="36"/>
        <v>0</v>
      </c>
      <c r="AJ187" s="1138" t="str">
        <f t="shared" si="37"/>
        <v/>
      </c>
      <c r="AK187" s="1138" t="str">
        <f t="shared" si="29"/>
        <v/>
      </c>
      <c r="AL187" s="66"/>
      <c r="AM187" s="66"/>
    </row>
    <row r="188" spans="1:39" s="67" customFormat="1" ht="24" hidden="1" customHeight="1" x14ac:dyDescent="0.15">
      <c r="A188" s="160">
        <v>175</v>
      </c>
      <c r="B188" s="222"/>
      <c r="C188" s="222"/>
      <c r="D188" s="222"/>
      <c r="E188" s="560"/>
      <c r="F188" s="135"/>
      <c r="G188" s="417"/>
      <c r="H188" s="346"/>
      <c r="I188" s="346"/>
      <c r="J188" s="569"/>
      <c r="K188" s="569"/>
      <c r="L188" s="222"/>
      <c r="M188" s="204"/>
      <c r="N188" s="226"/>
      <c r="O188" s="433"/>
      <c r="P188" s="203"/>
      <c r="Q188" s="203"/>
      <c r="R188" s="203"/>
      <c r="S188" s="342"/>
      <c r="T188" s="1138" t="s">
        <v>50</v>
      </c>
      <c r="U188" s="1138">
        <f>COUNTIF(D174:D193,"공")</f>
        <v>0</v>
      </c>
      <c r="V188" s="1139">
        <f>COUNTIF(I174:I193,"공")</f>
        <v>0</v>
      </c>
      <c r="W188" s="1138" t="s">
        <v>26</v>
      </c>
      <c r="X188" s="1138">
        <f>SUMIF(D174:D193,"공",F174:F193)</f>
        <v>0</v>
      </c>
      <c r="Y188" s="1139">
        <f>SUMIF(I174:I193,"공",K174:K193)</f>
        <v>0</v>
      </c>
      <c r="Z188" s="1164">
        <f>COUNTIF(AJ174:AJ193,"공국")+COUNTIF(AJ174:AJ193,"공공")</f>
        <v>0</v>
      </c>
      <c r="AA188" s="1165">
        <f>COUNTIF(AK174:AK193,"공국")+COUNTIF(AK174:AK193,"공공")</f>
        <v>0</v>
      </c>
      <c r="AB188" s="1164" t="s">
        <v>26</v>
      </c>
      <c r="AC188" s="1164">
        <f>SUMIF(AJ174:AJ193,"공국",F174:F193)+SUMIF(AJ174:AJ193,"공공",F174:F193)</f>
        <v>0</v>
      </c>
      <c r="AD188" s="1165">
        <f>SUMIF(AK174:AK193,"공국",K174:K193)+SUMIF(AK174:AK193,"공공",K174:K193)</f>
        <v>0</v>
      </c>
      <c r="AE188" s="1138">
        <f t="shared" si="35"/>
        <v>0</v>
      </c>
      <c r="AF188" s="1139">
        <f t="shared" si="35"/>
        <v>0</v>
      </c>
      <c r="AG188" s="1138" t="s">
        <v>26</v>
      </c>
      <c r="AH188" s="1138">
        <f t="shared" si="36"/>
        <v>0</v>
      </c>
      <c r="AI188" s="1139">
        <f t="shared" si="36"/>
        <v>0</v>
      </c>
      <c r="AJ188" s="1138" t="str">
        <f t="shared" si="37"/>
        <v/>
      </c>
      <c r="AK188" s="1138" t="str">
        <f t="shared" si="29"/>
        <v/>
      </c>
      <c r="AL188" s="66"/>
      <c r="AM188" s="66"/>
    </row>
    <row r="189" spans="1:39" s="67" customFormat="1" ht="24" hidden="1" customHeight="1" x14ac:dyDescent="0.15">
      <c r="A189" s="160">
        <v>176</v>
      </c>
      <c r="B189" s="222"/>
      <c r="C189" s="222"/>
      <c r="D189" s="222"/>
      <c r="E189" s="560"/>
      <c r="F189" s="135"/>
      <c r="G189" s="417"/>
      <c r="H189" s="346"/>
      <c r="I189" s="346"/>
      <c r="J189" s="569"/>
      <c r="K189" s="569"/>
      <c r="L189" s="222"/>
      <c r="M189" s="204"/>
      <c r="N189" s="226"/>
      <c r="O189" s="433"/>
      <c r="P189" s="204"/>
      <c r="Q189" s="204"/>
      <c r="R189" s="204"/>
      <c r="S189" s="342"/>
      <c r="T189" s="1142" t="s">
        <v>219</v>
      </c>
      <c r="U189" s="1138">
        <f>COUNTIF(D174:D193,"주")</f>
        <v>0</v>
      </c>
      <c r="V189" s="1139">
        <f>COUNTIF(I174:I193,"주")</f>
        <v>0</v>
      </c>
      <c r="W189" s="1138" t="s">
        <v>26</v>
      </c>
      <c r="X189" s="1138">
        <f>SUMIF(D174:D193,"주",F174:F193)</f>
        <v>0</v>
      </c>
      <c r="Y189" s="1139">
        <f>SUMIF(I174:I193,"주",K174:K193)</f>
        <v>0</v>
      </c>
      <c r="Z189" s="1164">
        <f>COUNTIF(AJ174:AJ193,"주국")+COUNTIF(AJ174:AJ193,"주공")</f>
        <v>0</v>
      </c>
      <c r="AA189" s="1165">
        <f>COUNTIF(AK174:AK193,"주국")+COUNTIF(AK174:AK193,"주공")</f>
        <v>0</v>
      </c>
      <c r="AB189" s="1164" t="s">
        <v>26</v>
      </c>
      <c r="AC189" s="1164">
        <f>SUMIF(AJ174:AJ193,"주국",F174:F193)+SUMIF(AJ174:AJ193,"주공",F174:F193)</f>
        <v>0</v>
      </c>
      <c r="AD189" s="1165">
        <f>SUMIF(AK174:AK193,"주국",K174:K193)+SUMIF(AK174:AK193,"주공",K174:K193)</f>
        <v>0</v>
      </c>
      <c r="AE189" s="1138">
        <f t="shared" si="35"/>
        <v>0</v>
      </c>
      <c r="AF189" s="1139">
        <f t="shared" si="35"/>
        <v>0</v>
      </c>
      <c r="AG189" s="1138" t="s">
        <v>26</v>
      </c>
      <c r="AH189" s="1138">
        <f t="shared" si="36"/>
        <v>0</v>
      </c>
      <c r="AI189" s="1139">
        <f t="shared" si="36"/>
        <v>0</v>
      </c>
      <c r="AJ189" s="1138" t="str">
        <f t="shared" si="37"/>
        <v/>
      </c>
      <c r="AK189" s="1138" t="str">
        <f t="shared" si="29"/>
        <v/>
      </c>
      <c r="AL189" s="66"/>
      <c r="AM189" s="66"/>
    </row>
    <row r="190" spans="1:39" s="67" customFormat="1" ht="24" hidden="1" customHeight="1" x14ac:dyDescent="0.15">
      <c r="A190" s="160">
        <v>177</v>
      </c>
      <c r="B190" s="222"/>
      <c r="C190" s="222"/>
      <c r="D190" s="133"/>
      <c r="E190" s="560"/>
      <c r="F190" s="135"/>
      <c r="G190" s="417"/>
      <c r="H190" s="346"/>
      <c r="I190" s="346"/>
      <c r="J190" s="569"/>
      <c r="K190" s="569"/>
      <c r="L190" s="222"/>
      <c r="M190" s="204"/>
      <c r="N190" s="226"/>
      <c r="O190" s="433"/>
      <c r="P190" s="204"/>
      <c r="Q190" s="204"/>
      <c r="R190" s="204"/>
      <c r="S190" s="342"/>
      <c r="T190" s="1142" t="s">
        <v>222</v>
      </c>
      <c r="U190" s="1138">
        <f>COUNTIF(D174:D193,"목")</f>
        <v>0</v>
      </c>
      <c r="V190" s="1139">
        <f>COUNTIF(I174:I193,"목")</f>
        <v>0</v>
      </c>
      <c r="W190" s="1138" t="s">
        <v>26</v>
      </c>
      <c r="X190" s="1138">
        <f>SUMIF(D174:D193,"목",F174:F193)</f>
        <v>0</v>
      </c>
      <c r="Y190" s="1139">
        <f>SUMIF(I174:I193,"목",K174:K193)</f>
        <v>0</v>
      </c>
      <c r="Z190" s="1164">
        <f>COUNTIF(AJ174:AJ193,"목국")+COUNTIF(AJ174:AJ193,"목공")</f>
        <v>0</v>
      </c>
      <c r="AA190" s="1165">
        <f>COUNTIF(AK174:AK193,"목국")+COUNTIF(AK174:AK193,"목공")</f>
        <v>0</v>
      </c>
      <c r="AB190" s="1164" t="s">
        <v>26</v>
      </c>
      <c r="AC190" s="1164">
        <f>SUMIF(AJ174:AJ193,"목국",F174:F193)+SUMIF(AJ174:AJ193,"목공",F174:F193)</f>
        <v>0</v>
      </c>
      <c r="AD190" s="1165">
        <f>SUMIF(AK174:AK193,"목국",K174:K193)+SUMIF(AK174:AK193,"목공",K174:K193)</f>
        <v>0</v>
      </c>
      <c r="AE190" s="1138">
        <f t="shared" si="35"/>
        <v>0</v>
      </c>
      <c r="AF190" s="1139">
        <f t="shared" si="35"/>
        <v>0</v>
      </c>
      <c r="AG190" s="1138" t="s">
        <v>26</v>
      </c>
      <c r="AH190" s="1138">
        <f t="shared" si="36"/>
        <v>0</v>
      </c>
      <c r="AI190" s="1139">
        <f t="shared" si="36"/>
        <v>0</v>
      </c>
      <c r="AJ190" s="1138" t="str">
        <f t="shared" si="37"/>
        <v/>
      </c>
      <c r="AK190" s="1138" t="str">
        <f t="shared" si="29"/>
        <v/>
      </c>
      <c r="AL190" s="66"/>
      <c r="AM190" s="66"/>
    </row>
    <row r="191" spans="1:39" s="67" customFormat="1" ht="24" hidden="1" customHeight="1" x14ac:dyDescent="0.15">
      <c r="A191" s="160">
        <v>178</v>
      </c>
      <c r="B191" s="222"/>
      <c r="C191" s="222"/>
      <c r="D191" s="222"/>
      <c r="E191" s="560"/>
      <c r="F191" s="135"/>
      <c r="G191" s="417"/>
      <c r="H191" s="346"/>
      <c r="I191" s="346"/>
      <c r="J191" s="569"/>
      <c r="K191" s="569"/>
      <c r="L191" s="222"/>
      <c r="M191" s="204"/>
      <c r="N191" s="226"/>
      <c r="O191" s="433"/>
      <c r="P191" s="204"/>
      <c r="Q191" s="204"/>
      <c r="R191" s="204"/>
      <c r="S191" s="342"/>
      <c r="T191" s="1142"/>
      <c r="U191" s="1142"/>
      <c r="V191" s="1143"/>
      <c r="W191" s="1142"/>
      <c r="X191" s="1142"/>
      <c r="Y191" s="1143"/>
      <c r="Z191" s="1164"/>
      <c r="AA191" s="1165"/>
      <c r="AB191" s="1173"/>
      <c r="AC191" s="1164"/>
      <c r="AD191" s="1165"/>
      <c r="AE191" s="1142"/>
      <c r="AF191" s="1143"/>
      <c r="AG191" s="1142"/>
      <c r="AH191" s="1142"/>
      <c r="AI191" s="1143"/>
      <c r="AJ191" s="1138" t="str">
        <f t="shared" si="37"/>
        <v/>
      </c>
      <c r="AK191" s="1138" t="str">
        <f t="shared" si="29"/>
        <v/>
      </c>
      <c r="AL191" s="66"/>
      <c r="AM191" s="66"/>
    </row>
    <row r="192" spans="1:39" s="67" customFormat="1" ht="24" hidden="1" customHeight="1" x14ac:dyDescent="0.15">
      <c r="A192" s="160">
        <v>179</v>
      </c>
      <c r="B192" s="222"/>
      <c r="C192" s="222"/>
      <c r="D192" s="222"/>
      <c r="E192" s="560"/>
      <c r="F192" s="135"/>
      <c r="G192" s="417"/>
      <c r="H192" s="346"/>
      <c r="I192" s="346"/>
      <c r="J192" s="569"/>
      <c r="K192" s="569"/>
      <c r="L192" s="222"/>
      <c r="M192" s="204"/>
      <c r="N192" s="226"/>
      <c r="O192" s="433"/>
      <c r="P192" s="204"/>
      <c r="Q192" s="204"/>
      <c r="R192" s="204"/>
      <c r="S192" s="342"/>
      <c r="T192" s="1142"/>
      <c r="U192" s="1142"/>
      <c r="V192" s="1143"/>
      <c r="W192" s="1142"/>
      <c r="X192" s="1142"/>
      <c r="Y192" s="1143"/>
      <c r="Z192" s="1164"/>
      <c r="AA192" s="1165"/>
      <c r="AB192" s="1173"/>
      <c r="AC192" s="1164"/>
      <c r="AD192" s="1165"/>
      <c r="AE192" s="1142"/>
      <c r="AF192" s="1143"/>
      <c r="AG192" s="1142"/>
      <c r="AH192" s="1142"/>
      <c r="AI192" s="1143"/>
      <c r="AJ192" s="1138" t="str">
        <f t="shared" si="37"/>
        <v/>
      </c>
      <c r="AK192" s="1138" t="str">
        <f t="shared" si="29"/>
        <v/>
      </c>
      <c r="AL192" s="66"/>
      <c r="AM192" s="66"/>
    </row>
    <row r="193" spans="1:39" s="67" customFormat="1" ht="24" hidden="1" customHeight="1" x14ac:dyDescent="0.15">
      <c r="A193" s="160">
        <v>180</v>
      </c>
      <c r="B193" s="222"/>
      <c r="C193" s="222"/>
      <c r="D193" s="222"/>
      <c r="E193" s="560"/>
      <c r="F193" s="135"/>
      <c r="G193" s="417"/>
      <c r="H193" s="346"/>
      <c r="I193" s="346"/>
      <c r="J193" s="569"/>
      <c r="K193" s="569"/>
      <c r="L193" s="222"/>
      <c r="M193" s="204"/>
      <c r="N193" s="226"/>
      <c r="O193" s="433"/>
      <c r="P193" s="204"/>
      <c r="Q193" s="204"/>
      <c r="R193" s="204"/>
      <c r="S193" s="1192"/>
      <c r="T193" s="1144" t="s">
        <v>37</v>
      </c>
      <c r="U193" s="1144">
        <f>COUNTIF(D174:D193,"철")</f>
        <v>0</v>
      </c>
      <c r="V193" s="1145">
        <f>COUNTIF(I174:I193,"철")</f>
        <v>0</v>
      </c>
      <c r="W193" s="1144" t="s">
        <v>26</v>
      </c>
      <c r="X193" s="1144">
        <f>SUMIF(D174:D193,"철",F174:F193)</f>
        <v>0</v>
      </c>
      <c r="Y193" s="1145">
        <f>SUMIF(I174:I193,"철",K174:K193)</f>
        <v>0</v>
      </c>
      <c r="Z193" s="1164">
        <f>COUNTIF(AJ174:AJ193,"철국")+COUNTIF(AJ174:AJ193,"철공")</f>
        <v>0</v>
      </c>
      <c r="AA193" s="1165">
        <f>COUNTIF(AK174:AK193,"철국")+COUNTIF(AK174:AK193,"철공")</f>
        <v>0</v>
      </c>
      <c r="AB193" s="1174" t="s">
        <v>26</v>
      </c>
      <c r="AC193" s="1164">
        <f>SUMIF(AJ174:AJ193,"철국",F174:F193)+SUMIF(AJ174:AJ193,"철공",F174:F193)</f>
        <v>0</v>
      </c>
      <c r="AD193" s="1165">
        <f>SUMIF(AK174:AK193,"철국",K174:K193)+SUMIF(AK174:AK193,"철공",K174:K193)</f>
        <v>0</v>
      </c>
      <c r="AE193" s="1144"/>
      <c r="AF193" s="1145"/>
      <c r="AG193" s="1144"/>
      <c r="AH193" s="1144"/>
      <c r="AI193" s="1145"/>
      <c r="AJ193" s="1138" t="str">
        <f t="shared" si="37"/>
        <v/>
      </c>
      <c r="AK193" s="1138" t="str">
        <f t="shared" si="29"/>
        <v/>
      </c>
      <c r="AL193" s="66"/>
      <c r="AM193" s="66"/>
    </row>
    <row r="194" spans="1:39" s="57" customFormat="1" ht="24" hidden="1" customHeight="1" thickBot="1" x14ac:dyDescent="0.2">
      <c r="A194" s="1193" t="s">
        <v>48</v>
      </c>
      <c r="B194" s="1194"/>
      <c r="C194" s="1194"/>
      <c r="D194" s="1194"/>
      <c r="E194" s="1194"/>
      <c r="F194" s="1148">
        <f>SUM(F174:F193)</f>
        <v>0</v>
      </c>
      <c r="G194" s="1149"/>
      <c r="H194" s="1149"/>
      <c r="I194" s="1150"/>
      <c r="J194" s="1195"/>
      <c r="K194" s="1159">
        <f>SUM(K174:K193)</f>
        <v>0</v>
      </c>
      <c r="L194" s="1153"/>
      <c r="M194" s="1153"/>
      <c r="N194" s="1154"/>
      <c r="O194" s="1154"/>
      <c r="P194" s="1153"/>
      <c r="Q194" s="1153"/>
      <c r="R194" s="1153"/>
      <c r="S194" s="1155"/>
      <c r="T194" s="1156" t="s">
        <v>24</v>
      </c>
      <c r="U194" s="1157">
        <f t="shared" ref="U194:AA194" si="38">SUM(U174:U193)</f>
        <v>0</v>
      </c>
      <c r="V194" s="1157">
        <f t="shared" si="38"/>
        <v>0</v>
      </c>
      <c r="W194" s="1157">
        <f t="shared" si="38"/>
        <v>0</v>
      </c>
      <c r="X194" s="1157">
        <f t="shared" si="38"/>
        <v>0</v>
      </c>
      <c r="Y194" s="1157">
        <f t="shared" si="38"/>
        <v>0</v>
      </c>
      <c r="Z194" s="1164">
        <f t="shared" si="38"/>
        <v>0</v>
      </c>
      <c r="AA194" s="1165">
        <f t="shared" si="38"/>
        <v>0</v>
      </c>
      <c r="AB194" s="1164" t="s">
        <v>26</v>
      </c>
      <c r="AC194" s="1164">
        <f>SUM(AC174:AC193)</f>
        <v>0</v>
      </c>
      <c r="AD194" s="1165">
        <f>SUM(AD174:AD193)</f>
        <v>0</v>
      </c>
      <c r="AE194" s="1157">
        <f>SUM(AE174:AE193)</f>
        <v>0</v>
      </c>
      <c r="AF194" s="1157">
        <f>SUM(AF174:AF193)</f>
        <v>0</v>
      </c>
      <c r="AG194" s="1157" t="s">
        <v>26</v>
      </c>
      <c r="AH194" s="1157">
        <f>SUM(AH174:AH193)</f>
        <v>0</v>
      </c>
      <c r="AI194" s="1157">
        <f>SUM(AI174:AI193)</f>
        <v>0</v>
      </c>
      <c r="AJ194" s="1157"/>
      <c r="AK194" s="1138" t="str">
        <f t="shared" si="29"/>
        <v/>
      </c>
    </row>
    <row r="195" spans="1:39" s="67" customFormat="1" ht="24" hidden="1" customHeight="1" x14ac:dyDescent="0.15">
      <c r="A195" s="159">
        <v>181</v>
      </c>
      <c r="B195" s="1160"/>
      <c r="C195" s="222"/>
      <c r="D195" s="222"/>
      <c r="E195" s="560"/>
      <c r="F195" s="143"/>
      <c r="G195" s="488"/>
      <c r="H195" s="1182"/>
      <c r="I195" s="1182"/>
      <c r="J195" s="1183"/>
      <c r="K195" s="1183"/>
      <c r="L195" s="318"/>
      <c r="M195" s="1184"/>
      <c r="N195" s="320"/>
      <c r="O195" s="1185"/>
      <c r="P195" s="1184"/>
      <c r="Q195" s="1184"/>
      <c r="R195" s="1184"/>
      <c r="S195" s="1196"/>
      <c r="T195" s="1138" t="s">
        <v>27</v>
      </c>
      <c r="U195" s="1138">
        <f>COUNTIF(D195:D214,"전")</f>
        <v>0</v>
      </c>
      <c r="V195" s="1139">
        <f>COUNTIF(I195:I214,"전")</f>
        <v>0</v>
      </c>
      <c r="W195" s="1138" t="s">
        <v>26</v>
      </c>
      <c r="X195" s="1138">
        <f>SUMIF(D195:D214,"전",F195:F214)</f>
        <v>0</v>
      </c>
      <c r="Y195" s="1139">
        <f>SUMIF(I195:I214,"전",K195:K214)</f>
        <v>0</v>
      </c>
      <c r="Z195" s="1164">
        <f>COUNTIF(AJ195:AJ214,"전국")+COUNTIF(AJ195:AJ214,"전공")</f>
        <v>0</v>
      </c>
      <c r="AA195" s="1165">
        <f>COUNTIF(AK195:AK214,"전국")+COUNTIF(AK195:AK214,"전공")</f>
        <v>0</v>
      </c>
      <c r="AB195" s="1164" t="s">
        <v>26</v>
      </c>
      <c r="AC195" s="1164">
        <f>SUMIF(AJ195:AJ214,"전국",F195:F214)+SUMIF(AJ195:AJ214,"전공",F195:F214)</f>
        <v>0</v>
      </c>
      <c r="AD195" s="1165">
        <f>SUMIF(AK195:AK214,"전국",K195:K214)+SUMIF(AK195:AK214,"전공",K195:K214)</f>
        <v>0</v>
      </c>
      <c r="AE195" s="1138">
        <f t="shared" ref="AE195:AF211" si="39">U195-Z195</f>
        <v>0</v>
      </c>
      <c r="AF195" s="1139">
        <f t="shared" si="39"/>
        <v>0</v>
      </c>
      <c r="AG195" s="1138" t="s">
        <v>26</v>
      </c>
      <c r="AH195" s="1138">
        <f t="shared" ref="AH195:AI211" si="40">X195-AC195</f>
        <v>0</v>
      </c>
      <c r="AI195" s="1139">
        <f t="shared" si="40"/>
        <v>0</v>
      </c>
      <c r="AJ195" s="1138" t="str">
        <f t="shared" ref="AJ195:AJ214" si="41">CONCATENATE(D195,L195)</f>
        <v/>
      </c>
      <c r="AK195" s="1138" t="str">
        <f t="shared" si="29"/>
        <v/>
      </c>
      <c r="AL195" s="66"/>
      <c r="AM195" s="66"/>
    </row>
    <row r="196" spans="1:39" s="67" customFormat="1" ht="24" hidden="1" customHeight="1" x14ac:dyDescent="0.15">
      <c r="A196" s="160">
        <v>182</v>
      </c>
      <c r="B196" s="222"/>
      <c r="C196" s="1166"/>
      <c r="D196" s="1166"/>
      <c r="E196" s="560"/>
      <c r="F196" s="135"/>
      <c r="G196" s="417"/>
      <c r="H196" s="346"/>
      <c r="I196" s="346"/>
      <c r="J196" s="569"/>
      <c r="K196" s="569"/>
      <c r="L196" s="204"/>
      <c r="M196" s="204"/>
      <c r="N196" s="433"/>
      <c r="O196" s="433"/>
      <c r="P196" s="204"/>
      <c r="Q196" s="204"/>
      <c r="R196" s="204"/>
      <c r="S196" s="1192"/>
      <c r="T196" s="1138" t="s">
        <v>28</v>
      </c>
      <c r="U196" s="1138">
        <f>COUNTIF(D195:D214,"답")</f>
        <v>0</v>
      </c>
      <c r="V196" s="1139">
        <f>COUNTIF(I195:I214,"답")</f>
        <v>0</v>
      </c>
      <c r="W196" s="1138" t="s">
        <v>26</v>
      </c>
      <c r="X196" s="1138">
        <f>SUMIF(D195:D214,"답",F195:F214)</f>
        <v>0</v>
      </c>
      <c r="Y196" s="1139">
        <f>SUMIF(I195:I214,"답",K195:K214)</f>
        <v>0</v>
      </c>
      <c r="Z196" s="1164">
        <f>COUNTIF(AJ195:AJ214,"답국")+COUNTIF(AJ195:AJ214,"답공")</f>
        <v>0</v>
      </c>
      <c r="AA196" s="1165">
        <f>COUNTIF(AK195:AK214,"답국")+COUNTIF(AK195:AK214,"답공")</f>
        <v>0</v>
      </c>
      <c r="AB196" s="1164" t="s">
        <v>26</v>
      </c>
      <c r="AC196" s="1164">
        <f>SUMIF(AJ195:AJ214,"답국",F195:F214)+SUMIF(AJ195:AJ214,"답공",F195:F214)</f>
        <v>0</v>
      </c>
      <c r="AD196" s="1165">
        <f>SUMIF(AK195:AK214,"답국",K195:K214)+SUMIF(AK195:AK214,"답공",K195:K214)</f>
        <v>0</v>
      </c>
      <c r="AE196" s="1138">
        <f t="shared" si="39"/>
        <v>0</v>
      </c>
      <c r="AF196" s="1139">
        <f t="shared" si="39"/>
        <v>0</v>
      </c>
      <c r="AG196" s="1138" t="s">
        <v>26</v>
      </c>
      <c r="AH196" s="1138">
        <f t="shared" si="40"/>
        <v>0</v>
      </c>
      <c r="AI196" s="1139">
        <f t="shared" si="40"/>
        <v>0</v>
      </c>
      <c r="AJ196" s="1138" t="str">
        <f t="shared" si="41"/>
        <v/>
      </c>
      <c r="AK196" s="1138" t="str">
        <f t="shared" si="29"/>
        <v/>
      </c>
      <c r="AL196" s="66"/>
      <c r="AM196" s="66"/>
    </row>
    <row r="197" spans="1:39" s="67" customFormat="1" ht="24" hidden="1" customHeight="1" x14ac:dyDescent="0.15">
      <c r="A197" s="160">
        <v>183</v>
      </c>
      <c r="B197" s="222"/>
      <c r="C197" s="1191"/>
      <c r="D197" s="222"/>
      <c r="E197" s="560"/>
      <c r="F197" s="135"/>
      <c r="G197" s="417"/>
      <c r="H197" s="503"/>
      <c r="I197" s="346"/>
      <c r="J197" s="569"/>
      <c r="K197" s="569"/>
      <c r="L197" s="204"/>
      <c r="M197" s="204"/>
      <c r="N197" s="433"/>
      <c r="O197" s="433"/>
      <c r="P197" s="204"/>
      <c r="Q197" s="204"/>
      <c r="R197" s="204"/>
      <c r="S197" s="1192"/>
      <c r="T197" s="1138" t="s">
        <v>44</v>
      </c>
      <c r="U197" s="1138">
        <f>COUNTIF(D195:D214,"임")</f>
        <v>0</v>
      </c>
      <c r="V197" s="1139">
        <f>COUNTIF(I195:I214,"임")</f>
        <v>0</v>
      </c>
      <c r="W197" s="1138" t="s">
        <v>26</v>
      </c>
      <c r="X197" s="1138">
        <f>SUMIF(D195:D214,"임",F195:F214)</f>
        <v>0</v>
      </c>
      <c r="Y197" s="1139">
        <f>SUMIF(I195:I214,"임",K195:K214)</f>
        <v>0</v>
      </c>
      <c r="Z197" s="1164">
        <f>COUNTIF(AJ195:AJ214,"임국")+COUNTIF(AJ195:AJ214,"임공")</f>
        <v>0</v>
      </c>
      <c r="AA197" s="1165">
        <f>COUNTIF(AK195:AK214,"임국")+COUNTIF(AK195:AK214,"임공")</f>
        <v>0</v>
      </c>
      <c r="AB197" s="1164" t="s">
        <v>26</v>
      </c>
      <c r="AC197" s="1164">
        <f>SUMIF(AJ195:AJ214,"임국",F195:F214)+SUMIF(AJ195:AJ214,"임공",F195:F214)</f>
        <v>0</v>
      </c>
      <c r="AD197" s="1165">
        <f>SUMIF(AK195:AK214,"임국",K195:K214)+SUMIF(AK195:AK214,"임공",K195:K214)</f>
        <v>0</v>
      </c>
      <c r="AE197" s="1138">
        <f t="shared" si="39"/>
        <v>0</v>
      </c>
      <c r="AF197" s="1139">
        <f t="shared" si="39"/>
        <v>0</v>
      </c>
      <c r="AG197" s="1138" t="s">
        <v>26</v>
      </c>
      <c r="AH197" s="1138">
        <f t="shared" si="40"/>
        <v>0</v>
      </c>
      <c r="AI197" s="1139">
        <f t="shared" si="40"/>
        <v>0</v>
      </c>
      <c r="AJ197" s="1138" t="str">
        <f t="shared" si="41"/>
        <v/>
      </c>
      <c r="AK197" s="1138" t="str">
        <f t="shared" si="29"/>
        <v/>
      </c>
      <c r="AL197" s="66"/>
      <c r="AM197" s="66"/>
    </row>
    <row r="198" spans="1:39" s="67" customFormat="1" ht="24" hidden="1" customHeight="1" x14ac:dyDescent="0.15">
      <c r="A198" s="160">
        <v>184</v>
      </c>
      <c r="B198" s="222"/>
      <c r="C198" s="222"/>
      <c r="D198" s="222"/>
      <c r="E198" s="560"/>
      <c r="F198" s="135"/>
      <c r="G198" s="344"/>
      <c r="H198" s="346"/>
      <c r="I198" s="346"/>
      <c r="J198" s="569"/>
      <c r="K198" s="569"/>
      <c r="L198" s="222"/>
      <c r="M198" s="1175"/>
      <c r="N198" s="226"/>
      <c r="O198" s="433"/>
      <c r="P198" s="204"/>
      <c r="Q198" s="204"/>
      <c r="R198" s="204"/>
      <c r="S198" s="1192"/>
      <c r="T198" s="1138" t="s">
        <v>45</v>
      </c>
      <c r="U198" s="1138">
        <f>COUNTIF(D195:D214,"대")</f>
        <v>0</v>
      </c>
      <c r="V198" s="1139">
        <f>COUNTIF(I195:I214,"대")</f>
        <v>0</v>
      </c>
      <c r="W198" s="1138" t="s">
        <v>26</v>
      </c>
      <c r="X198" s="1138">
        <f>SUMIF(D195:D214,"대",F195:F214)</f>
        <v>0</v>
      </c>
      <c r="Y198" s="1139">
        <f>SUMIF(I195:I214,"대",K195:K214)</f>
        <v>0</v>
      </c>
      <c r="Z198" s="1164">
        <f>COUNTIF(AJ195:AJ214,"대국")+COUNTIF(AJ195:AJ214,"대공")</f>
        <v>0</v>
      </c>
      <c r="AA198" s="1165">
        <f>COUNTIF(AK195:AK214,"대국")+COUNTIF(AK195:AK214,"대공")</f>
        <v>0</v>
      </c>
      <c r="AB198" s="1164" t="s">
        <v>26</v>
      </c>
      <c r="AC198" s="1164">
        <f>SUMIF(AJ195:AJ214,"대국",F195:F214)+SUMIF(AJ195:AJ214,"대공",F195:F214)</f>
        <v>0</v>
      </c>
      <c r="AD198" s="1165">
        <f>SUMIF(AK195:AK214,"대국",K195:K214)+SUMIF(AK195:AK214,"대공",K195:K214)</f>
        <v>0</v>
      </c>
      <c r="AE198" s="1138">
        <f t="shared" si="39"/>
        <v>0</v>
      </c>
      <c r="AF198" s="1139">
        <f t="shared" si="39"/>
        <v>0</v>
      </c>
      <c r="AG198" s="1138" t="s">
        <v>26</v>
      </c>
      <c r="AH198" s="1138">
        <f t="shared" si="40"/>
        <v>0</v>
      </c>
      <c r="AI198" s="1139">
        <f t="shared" si="40"/>
        <v>0</v>
      </c>
      <c r="AJ198" s="1138" t="str">
        <f t="shared" si="41"/>
        <v/>
      </c>
      <c r="AK198" s="1138" t="str">
        <f t="shared" si="29"/>
        <v/>
      </c>
      <c r="AL198" s="66"/>
      <c r="AM198" s="66"/>
    </row>
    <row r="199" spans="1:39" s="67" customFormat="1" ht="24" hidden="1" customHeight="1" x14ac:dyDescent="0.15">
      <c r="A199" s="160">
        <v>185</v>
      </c>
      <c r="B199" s="222"/>
      <c r="C199" s="222"/>
      <c r="D199" s="222"/>
      <c r="E199" s="560"/>
      <c r="F199" s="135"/>
      <c r="G199" s="344"/>
      <c r="H199" s="346"/>
      <c r="I199" s="346"/>
      <c r="J199" s="569"/>
      <c r="K199" s="569"/>
      <c r="L199" s="204"/>
      <c r="M199" s="204"/>
      <c r="N199" s="226"/>
      <c r="O199" s="433"/>
      <c r="P199" s="204"/>
      <c r="Q199" s="204"/>
      <c r="R199" s="204"/>
      <c r="S199" s="1192"/>
      <c r="T199" s="1138" t="s">
        <v>31</v>
      </c>
      <c r="U199" s="1138">
        <f>COUNTIF(D195:D214,"도")</f>
        <v>0</v>
      </c>
      <c r="V199" s="1139">
        <f>COUNTIF(I195:I214,"도")</f>
        <v>0</v>
      </c>
      <c r="W199" s="1138" t="s">
        <v>26</v>
      </c>
      <c r="X199" s="1138">
        <f>SUMIF(D195:D214,"도",F195:F214)</f>
        <v>0</v>
      </c>
      <c r="Y199" s="1139">
        <f>SUMIF(I195:I214,"도",K195:K214)</f>
        <v>0</v>
      </c>
      <c r="Z199" s="1164">
        <f>COUNTIF(AJ195:AJ214,"도국")+COUNTIF(AJ195:AJ214,"도공")</f>
        <v>0</v>
      </c>
      <c r="AA199" s="1165">
        <f>COUNTIF(AK195:AK214,"도국")+COUNTIF(AK195:AK214,"도공")</f>
        <v>0</v>
      </c>
      <c r="AB199" s="1164" t="s">
        <v>26</v>
      </c>
      <c r="AC199" s="1164">
        <f>SUMIF(AJ195:AJ214,"도국",F195:F214)+SUMIF(AJ195:AJ214,"도공",F195:F214)</f>
        <v>0</v>
      </c>
      <c r="AD199" s="1165">
        <f>SUMIF(AK195:AK214,"도국",K195:K214)+SUMIF(AK195:AK214,"도공",K195:K214)</f>
        <v>0</v>
      </c>
      <c r="AE199" s="1138">
        <f t="shared" si="39"/>
        <v>0</v>
      </c>
      <c r="AF199" s="1139">
        <f t="shared" si="39"/>
        <v>0</v>
      </c>
      <c r="AG199" s="1138" t="s">
        <v>26</v>
      </c>
      <c r="AH199" s="1138">
        <f t="shared" si="40"/>
        <v>0</v>
      </c>
      <c r="AI199" s="1139">
        <f t="shared" si="40"/>
        <v>0</v>
      </c>
      <c r="AJ199" s="1138" t="str">
        <f t="shared" si="41"/>
        <v/>
      </c>
      <c r="AK199" s="1138" t="str">
        <f t="shared" ref="AK199:AK215" si="42">CONCATENATE(I199,N199)</f>
        <v/>
      </c>
      <c r="AL199" s="66"/>
      <c r="AM199" s="66"/>
    </row>
    <row r="200" spans="1:39" s="67" customFormat="1" ht="24" hidden="1" customHeight="1" x14ac:dyDescent="0.15">
      <c r="A200" s="160">
        <v>186</v>
      </c>
      <c r="B200" s="222"/>
      <c r="C200" s="222"/>
      <c r="D200" s="222"/>
      <c r="E200" s="560"/>
      <c r="F200" s="135"/>
      <c r="G200" s="344"/>
      <c r="H200" s="346"/>
      <c r="I200" s="346"/>
      <c r="J200" s="569"/>
      <c r="K200" s="569"/>
      <c r="L200" s="204"/>
      <c r="M200" s="1175"/>
      <c r="N200" s="226"/>
      <c r="O200" s="433"/>
      <c r="P200" s="204"/>
      <c r="Q200" s="204"/>
      <c r="R200" s="204"/>
      <c r="S200" s="1192"/>
      <c r="T200" s="1138" t="s">
        <v>32</v>
      </c>
      <c r="U200" s="1140">
        <f>COUNTIF(D195:D214,"천")</f>
        <v>0</v>
      </c>
      <c r="V200" s="1141">
        <f>COUNTIF(I195:I214,"천")</f>
        <v>0</v>
      </c>
      <c r="W200" s="1138" t="s">
        <v>26</v>
      </c>
      <c r="X200" s="1138">
        <f>SUMIF(D195:D214,"천",F195:F214)</f>
        <v>0</v>
      </c>
      <c r="Y200" s="1139">
        <f>SUMIF(I195:I214,"천",K195:K214)</f>
        <v>0</v>
      </c>
      <c r="Z200" s="1164">
        <f>COUNTIF(AJ195:AJ214,"천국")+COUNTIF(AJ195:AJ214,"천공")</f>
        <v>0</v>
      </c>
      <c r="AA200" s="1165">
        <f>COUNTIF(AK195:AK214,"천국")+COUNTIF(AK195:AK214,"천공")</f>
        <v>0</v>
      </c>
      <c r="AB200" s="1164" t="s">
        <v>26</v>
      </c>
      <c r="AC200" s="1164">
        <f>SUMIF(AJ195:AJ214,"천국",F195:F214)+SUMIF(AJ195:AJ214,"천공",F195:F214)</f>
        <v>0</v>
      </c>
      <c r="AD200" s="1165">
        <f>SUMIF(AK195:AK214,"천국",K195:K214)+SUMIF(AK195:AK214,"천공",K195:K214)</f>
        <v>0</v>
      </c>
      <c r="AE200" s="1138">
        <f t="shared" si="39"/>
        <v>0</v>
      </c>
      <c r="AF200" s="1139">
        <f t="shared" si="39"/>
        <v>0</v>
      </c>
      <c r="AG200" s="1138" t="s">
        <v>26</v>
      </c>
      <c r="AH200" s="1138">
        <f t="shared" si="40"/>
        <v>0</v>
      </c>
      <c r="AI200" s="1139">
        <f t="shared" si="40"/>
        <v>0</v>
      </c>
      <c r="AJ200" s="1138" t="str">
        <f t="shared" si="41"/>
        <v/>
      </c>
      <c r="AK200" s="1138" t="str">
        <f t="shared" si="42"/>
        <v/>
      </c>
      <c r="AL200" s="66"/>
      <c r="AM200" s="66"/>
    </row>
    <row r="201" spans="1:39" s="67" customFormat="1" ht="24" hidden="1" customHeight="1" x14ac:dyDescent="0.15">
      <c r="A201" s="160">
        <v>187</v>
      </c>
      <c r="B201" s="222"/>
      <c r="C201" s="222"/>
      <c r="D201" s="222"/>
      <c r="E201" s="560"/>
      <c r="F201" s="135"/>
      <c r="G201" s="1197"/>
      <c r="H201" s="346"/>
      <c r="I201" s="346"/>
      <c r="J201" s="569"/>
      <c r="K201" s="569"/>
      <c r="L201" s="204"/>
      <c r="M201" s="204"/>
      <c r="N201" s="226"/>
      <c r="O201" s="433"/>
      <c r="P201" s="204"/>
      <c r="Q201" s="204"/>
      <c r="R201" s="204"/>
      <c r="S201" s="1192"/>
      <c r="T201" s="1138" t="s">
        <v>33</v>
      </c>
      <c r="U201" s="1138">
        <f>COUNTIF(D195:D214,"구")</f>
        <v>0</v>
      </c>
      <c r="V201" s="1139">
        <f>COUNTIF(I195:I214,"구")</f>
        <v>0</v>
      </c>
      <c r="W201" s="1138" t="s">
        <v>26</v>
      </c>
      <c r="X201" s="1138">
        <f>SUMIF(D195:D214,"구",F195:F214)</f>
        <v>0</v>
      </c>
      <c r="Y201" s="1139">
        <f>SUMIF(I195:I214,"구",K195:K214)</f>
        <v>0</v>
      </c>
      <c r="Z201" s="1164">
        <f>COUNTIF(AJ195:AJ214,"구국")+COUNTIF(AJ195:AJ214,"구공")</f>
        <v>0</v>
      </c>
      <c r="AA201" s="1165">
        <f>COUNTIF(AK195:AK214,"구국")+COUNTIF(AK195:AK214,"구공")</f>
        <v>0</v>
      </c>
      <c r="AB201" s="1164" t="s">
        <v>26</v>
      </c>
      <c r="AC201" s="1164">
        <f>SUMIF(AJ195:AJ214,"구국",F195:F214)+SUMIF(AJ195:AJ214,"구공",F195:F214)</f>
        <v>0</v>
      </c>
      <c r="AD201" s="1165">
        <f>SUMIF(AK195:AK214,"구국",K195:K214)+SUMIF(AK195:AK214,"구공",K195:K214)</f>
        <v>0</v>
      </c>
      <c r="AE201" s="1138">
        <f t="shared" si="39"/>
        <v>0</v>
      </c>
      <c r="AF201" s="1139">
        <f t="shared" si="39"/>
        <v>0</v>
      </c>
      <c r="AG201" s="1138" t="s">
        <v>26</v>
      </c>
      <c r="AH201" s="1138">
        <f t="shared" si="40"/>
        <v>0</v>
      </c>
      <c r="AI201" s="1139">
        <f t="shared" si="40"/>
        <v>0</v>
      </c>
      <c r="AJ201" s="1138" t="str">
        <f t="shared" si="41"/>
        <v/>
      </c>
      <c r="AK201" s="1138" t="str">
        <f t="shared" si="42"/>
        <v/>
      </c>
      <c r="AL201" s="66"/>
      <c r="AM201" s="66"/>
    </row>
    <row r="202" spans="1:39" s="67" customFormat="1" ht="24" hidden="1" customHeight="1" x14ac:dyDescent="0.15">
      <c r="A202" s="160">
        <v>188</v>
      </c>
      <c r="B202" s="222"/>
      <c r="C202" s="222"/>
      <c r="D202" s="222"/>
      <c r="E202" s="560"/>
      <c r="F202" s="135"/>
      <c r="G202" s="344"/>
      <c r="H202" s="346"/>
      <c r="I202" s="346"/>
      <c r="J202" s="569"/>
      <c r="K202" s="569"/>
      <c r="L202" s="204"/>
      <c r="M202" s="204"/>
      <c r="N202" s="226"/>
      <c r="O202" s="433"/>
      <c r="P202" s="128"/>
      <c r="Q202" s="128"/>
      <c r="R202" s="128"/>
      <c r="S202" s="1192"/>
      <c r="T202" s="1138" t="s">
        <v>34</v>
      </c>
      <c r="U202" s="1138">
        <f>COUNTIF(D195:D214,"제")</f>
        <v>0</v>
      </c>
      <c r="V202" s="1139">
        <f>COUNTIF(I195:I214,"제")</f>
        <v>0</v>
      </c>
      <c r="W202" s="1138" t="s">
        <v>26</v>
      </c>
      <c r="X202" s="1138">
        <f>SUMIF(D195:D214,"제",F195:F214)</f>
        <v>0</v>
      </c>
      <c r="Y202" s="1139">
        <f>SUMIF(I195:I214,"제",K195:K214)</f>
        <v>0</v>
      </c>
      <c r="Z202" s="1164">
        <f>COUNTIF(AJ195:AJ214,"제국")+COUNTIF(AJ195:AJ214,"제공")</f>
        <v>0</v>
      </c>
      <c r="AA202" s="1165">
        <f>COUNTIF(AK195:AK214,"제국")+COUNTIF(AK195:AK214,"제공")</f>
        <v>0</v>
      </c>
      <c r="AB202" s="1164" t="s">
        <v>26</v>
      </c>
      <c r="AC202" s="1164">
        <f>SUMIF(AJ195:AJ214,"제국",F195:F214)+SUMIF(AJ195:AJ214,"제공",F195:F214)</f>
        <v>0</v>
      </c>
      <c r="AD202" s="1165">
        <f>SUMIF(AK195:AK214,"제국",K195:K214)+SUMIF(AK195:AK214,"제공",K195:K214)</f>
        <v>0</v>
      </c>
      <c r="AE202" s="1138">
        <f t="shared" si="39"/>
        <v>0</v>
      </c>
      <c r="AF202" s="1139">
        <f t="shared" si="39"/>
        <v>0</v>
      </c>
      <c r="AG202" s="1138" t="s">
        <v>26</v>
      </c>
      <c r="AH202" s="1138">
        <f t="shared" si="40"/>
        <v>0</v>
      </c>
      <c r="AI202" s="1139">
        <f t="shared" si="40"/>
        <v>0</v>
      </c>
      <c r="AJ202" s="1138" t="str">
        <f t="shared" si="41"/>
        <v/>
      </c>
      <c r="AK202" s="1138" t="str">
        <f t="shared" si="42"/>
        <v/>
      </c>
      <c r="AL202" s="66"/>
      <c r="AM202" s="66"/>
    </row>
    <row r="203" spans="1:39" s="67" customFormat="1" ht="24" hidden="1" customHeight="1" x14ac:dyDescent="0.15">
      <c r="A203" s="160">
        <v>189</v>
      </c>
      <c r="B203" s="222"/>
      <c r="C203" s="581"/>
      <c r="D203" s="581"/>
      <c r="E203" s="582"/>
      <c r="F203" s="582"/>
      <c r="G203" s="616"/>
      <c r="H203" s="1176"/>
      <c r="I203" s="1176"/>
      <c r="J203" s="616"/>
      <c r="K203" s="600"/>
      <c r="L203" s="586"/>
      <c r="M203" s="591"/>
      <c r="N203" s="587"/>
      <c r="O203" s="587"/>
      <c r="P203" s="204"/>
      <c r="Q203" s="204"/>
      <c r="R203" s="204"/>
      <c r="S203" s="1192"/>
      <c r="T203" s="1138" t="s">
        <v>46</v>
      </c>
      <c r="U203" s="1138">
        <f>COUNTIF(D195:D214,"유")</f>
        <v>0</v>
      </c>
      <c r="V203" s="1139">
        <f>COUNTIF(I195:I214,"유")</f>
        <v>0</v>
      </c>
      <c r="W203" s="1138" t="s">
        <v>26</v>
      </c>
      <c r="X203" s="1138">
        <f>SUMIF(D195:D214,"유",F195:F214)</f>
        <v>0</v>
      </c>
      <c r="Y203" s="1139">
        <f>SUMIF(I195:I214,"유",K195:K214)</f>
        <v>0</v>
      </c>
      <c r="Z203" s="1164">
        <f>COUNTIF(AJ195:AJ214,"유국")+COUNTIF(AJ195:AJ214,"유공")</f>
        <v>0</v>
      </c>
      <c r="AA203" s="1165">
        <f>COUNTIF(AK195:AK214,"유국")+COUNTIF(AK195:AK214,"유공")</f>
        <v>0</v>
      </c>
      <c r="AB203" s="1164" t="s">
        <v>26</v>
      </c>
      <c r="AC203" s="1164">
        <f>SUMIF(AJ195:AJ214,"유국",F195:F214)+SUMIF(AJ195:AJ214,"유공",F195:F214)</f>
        <v>0</v>
      </c>
      <c r="AD203" s="1165">
        <f>SUMIF(AK195:AK214,"유국",K195:K214)+SUMIF(AK195:AK214,"유공",K195:K214)</f>
        <v>0</v>
      </c>
      <c r="AE203" s="1138">
        <f t="shared" si="39"/>
        <v>0</v>
      </c>
      <c r="AF203" s="1139">
        <f t="shared" si="39"/>
        <v>0</v>
      </c>
      <c r="AG203" s="1138" t="s">
        <v>26</v>
      </c>
      <c r="AH203" s="1138">
        <f t="shared" si="40"/>
        <v>0</v>
      </c>
      <c r="AI203" s="1139">
        <f t="shared" si="40"/>
        <v>0</v>
      </c>
      <c r="AJ203" s="1138" t="str">
        <f t="shared" si="41"/>
        <v/>
      </c>
      <c r="AK203" s="1138" t="str">
        <f t="shared" si="42"/>
        <v/>
      </c>
      <c r="AL203" s="66"/>
      <c r="AM203" s="66"/>
    </row>
    <row r="204" spans="1:39" s="67" customFormat="1" ht="24" hidden="1" customHeight="1" x14ac:dyDescent="0.15">
      <c r="A204" s="160">
        <v>190</v>
      </c>
      <c r="B204" s="222"/>
      <c r="C204" s="639"/>
      <c r="D204" s="419"/>
      <c r="E204" s="464"/>
      <c r="F204" s="464"/>
      <c r="G204" s="344"/>
      <c r="H204" s="346"/>
      <c r="I204" s="346"/>
      <c r="J204" s="344"/>
      <c r="K204" s="417"/>
      <c r="L204" s="420"/>
      <c r="M204" s="420"/>
      <c r="N204" s="528"/>
      <c r="O204" s="528"/>
      <c r="P204" s="204"/>
      <c r="Q204" s="204"/>
      <c r="R204" s="204"/>
      <c r="S204" s="1192"/>
      <c r="T204" s="1138" t="s">
        <v>47</v>
      </c>
      <c r="U204" s="1138">
        <f>COUNTIF(D195:D214,"과")</f>
        <v>0</v>
      </c>
      <c r="V204" s="1139">
        <f>COUNTIF(I195:I214,"과")</f>
        <v>0</v>
      </c>
      <c r="W204" s="1138" t="s">
        <v>26</v>
      </c>
      <c r="X204" s="1138">
        <f>SUMIF(D195:D214,"과",F195:F214)</f>
        <v>0</v>
      </c>
      <c r="Y204" s="1139">
        <f>SUMIF(I195:I214,"과",K195:K214)</f>
        <v>0</v>
      </c>
      <c r="Z204" s="1164">
        <f>COUNTIF(AJ195:AJ214,"과국")+COUNTIF(AJ195:AJ214,"과공")</f>
        <v>0</v>
      </c>
      <c r="AA204" s="1165">
        <f>COUNTIF(AK195:AK214,"과국")+COUNTIF(AK195:AK214,"과공")</f>
        <v>0</v>
      </c>
      <c r="AB204" s="1164" t="s">
        <v>26</v>
      </c>
      <c r="AC204" s="1164">
        <f>SUMIF(AJ195:AJ214,"과국",F195:F214)+SUMIF(AJ195:AJ214,"과공",F195:F214)</f>
        <v>0</v>
      </c>
      <c r="AD204" s="1165">
        <f>SUMIF(AK195:AK214,"과국",K195:K214)+SUMIF(AK195:AK214,"과공",K195:K214)</f>
        <v>0</v>
      </c>
      <c r="AE204" s="1138">
        <f t="shared" si="39"/>
        <v>0</v>
      </c>
      <c r="AF204" s="1139">
        <f t="shared" si="39"/>
        <v>0</v>
      </c>
      <c r="AG204" s="1138" t="s">
        <v>26</v>
      </c>
      <c r="AH204" s="1138">
        <f t="shared" si="40"/>
        <v>0</v>
      </c>
      <c r="AI204" s="1139">
        <f t="shared" si="40"/>
        <v>0</v>
      </c>
      <c r="AJ204" s="1138" t="str">
        <f t="shared" si="41"/>
        <v/>
      </c>
      <c r="AK204" s="1138" t="str">
        <f t="shared" si="42"/>
        <v/>
      </c>
      <c r="AL204" s="66"/>
      <c r="AM204" s="66"/>
    </row>
    <row r="205" spans="1:39" s="67" customFormat="1" ht="24" hidden="1" customHeight="1" x14ac:dyDescent="0.15">
      <c r="A205" s="160">
        <v>191</v>
      </c>
      <c r="B205" s="222"/>
      <c r="C205" s="421"/>
      <c r="D205" s="419"/>
      <c r="E205" s="465"/>
      <c r="F205" s="465"/>
      <c r="G205" s="344"/>
      <c r="H205" s="346"/>
      <c r="I205" s="346"/>
      <c r="J205" s="344"/>
      <c r="K205" s="417"/>
      <c r="L205" s="420"/>
      <c r="M205" s="420"/>
      <c r="N205" s="528"/>
      <c r="O205" s="567"/>
      <c r="P205" s="204"/>
      <c r="Q205" s="204"/>
      <c r="R205" s="204"/>
      <c r="S205" s="1192"/>
      <c r="T205" s="1138" t="s">
        <v>36</v>
      </c>
      <c r="U205" s="1138">
        <f>COUNTIF(D195:D214,"묘")</f>
        <v>0</v>
      </c>
      <c r="V205" s="1139">
        <f>COUNTIF(I195:I214,"묘")</f>
        <v>0</v>
      </c>
      <c r="W205" s="1138" t="s">
        <v>26</v>
      </c>
      <c r="X205" s="1138">
        <f>SUMIF(D195:D214,"묘",F195:F214)</f>
        <v>0</v>
      </c>
      <c r="Y205" s="1139">
        <f>SUMIF(I195:I214,"묘",K195:K214)</f>
        <v>0</v>
      </c>
      <c r="Z205" s="1164">
        <f>COUNTIF(AJ195:AJ214,"묘국")+COUNTIF(AJ195:AJ214,"묘공")</f>
        <v>0</v>
      </c>
      <c r="AA205" s="1165">
        <f>COUNTIF(AK195:AK214,"묘국")+COUNTIF(AK195:AK214,"묘공")</f>
        <v>0</v>
      </c>
      <c r="AB205" s="1164" t="s">
        <v>26</v>
      </c>
      <c r="AC205" s="1164">
        <f>SUMIF(AJ195:AJ214,"묘국",F195:F214)+SUMIF(AJ195:AJ214,"묘공",F195:F214)</f>
        <v>0</v>
      </c>
      <c r="AD205" s="1165">
        <f>SUMIF(AK195:AK214,"묘국",K195:K214)+SUMIF(AK195:AK214,"묘공",K195:K214)</f>
        <v>0</v>
      </c>
      <c r="AE205" s="1138">
        <f t="shared" si="39"/>
        <v>0</v>
      </c>
      <c r="AF205" s="1139">
        <f t="shared" si="39"/>
        <v>0</v>
      </c>
      <c r="AG205" s="1138" t="s">
        <v>26</v>
      </c>
      <c r="AH205" s="1138">
        <f t="shared" si="40"/>
        <v>0</v>
      </c>
      <c r="AI205" s="1139">
        <f t="shared" si="40"/>
        <v>0</v>
      </c>
      <c r="AJ205" s="1138" t="str">
        <f t="shared" si="41"/>
        <v/>
      </c>
      <c r="AK205" s="1138" t="str">
        <f t="shared" si="42"/>
        <v/>
      </c>
      <c r="AL205" s="66"/>
      <c r="AM205" s="66"/>
    </row>
    <row r="206" spans="1:39" s="67" customFormat="1" ht="24" hidden="1" customHeight="1" x14ac:dyDescent="0.15">
      <c r="A206" s="160">
        <v>192</v>
      </c>
      <c r="B206" s="222"/>
      <c r="C206" s="419"/>
      <c r="D206" s="419"/>
      <c r="E206" s="464"/>
      <c r="F206" s="464"/>
      <c r="G206" s="344"/>
      <c r="H206" s="346"/>
      <c r="I206" s="346"/>
      <c r="J206" s="344"/>
      <c r="K206" s="417"/>
      <c r="L206" s="420"/>
      <c r="M206" s="420"/>
      <c r="N206" s="528"/>
      <c r="O206" s="433"/>
      <c r="P206" s="204"/>
      <c r="Q206" s="204"/>
      <c r="R206" s="204"/>
      <c r="S206" s="1192"/>
      <c r="T206" s="1138" t="s">
        <v>39</v>
      </c>
      <c r="U206" s="1138">
        <f>COUNTIF(D195:D214,"수")</f>
        <v>0</v>
      </c>
      <c r="V206" s="1139">
        <f>COUNTIF(I195:I214,"수")</f>
        <v>0</v>
      </c>
      <c r="W206" s="1138" t="s">
        <v>26</v>
      </c>
      <c r="X206" s="1138">
        <f>SUMIF(D195:D214,"수",F195:F214)</f>
        <v>0</v>
      </c>
      <c r="Y206" s="1139">
        <f>SUMIF(I195:I214,"수",K195:K214)</f>
        <v>0</v>
      </c>
      <c r="Z206" s="1164">
        <f>COUNTIF(AJ195:AJ214,"수국")+COUNTIF(AJ195:AJ214,"수공")</f>
        <v>0</v>
      </c>
      <c r="AA206" s="1165">
        <f>COUNTIF(AK195:AK214,"수국")+COUNTIF(AK195:AK214,"수공")</f>
        <v>0</v>
      </c>
      <c r="AB206" s="1164" t="s">
        <v>26</v>
      </c>
      <c r="AC206" s="1164">
        <f>SUMIF(AJ195:AJ214,"수국",F195:F214)+SUMIF(AJ195:AJ214,"수공",F195:F214)</f>
        <v>0</v>
      </c>
      <c r="AD206" s="1165">
        <f>SUMIF(AK195:AK214,"수국",K195:K214)+SUMIF(AK195:AK214,"수공",K195:K214)</f>
        <v>0</v>
      </c>
      <c r="AE206" s="1138">
        <f t="shared" si="39"/>
        <v>0</v>
      </c>
      <c r="AF206" s="1139">
        <f t="shared" si="39"/>
        <v>0</v>
      </c>
      <c r="AG206" s="1138" t="s">
        <v>26</v>
      </c>
      <c r="AH206" s="1138">
        <f t="shared" si="40"/>
        <v>0</v>
      </c>
      <c r="AI206" s="1139">
        <f t="shared" si="40"/>
        <v>0</v>
      </c>
      <c r="AJ206" s="1138" t="str">
        <f t="shared" si="41"/>
        <v/>
      </c>
      <c r="AK206" s="1138" t="str">
        <f t="shared" si="42"/>
        <v/>
      </c>
      <c r="AL206" s="66"/>
      <c r="AM206" s="66"/>
    </row>
    <row r="207" spans="1:39" s="67" customFormat="1" ht="24" hidden="1" customHeight="1" x14ac:dyDescent="0.15">
      <c r="A207" s="160">
        <v>193</v>
      </c>
      <c r="B207" s="222"/>
      <c r="C207" s="419"/>
      <c r="D207" s="419"/>
      <c r="E207" s="464"/>
      <c r="F207" s="464"/>
      <c r="G207" s="344"/>
      <c r="H207" s="346"/>
      <c r="I207" s="346"/>
      <c r="J207" s="344"/>
      <c r="K207" s="417"/>
      <c r="L207" s="420"/>
      <c r="M207" s="420"/>
      <c r="N207" s="528"/>
      <c r="O207" s="528"/>
      <c r="P207" s="128"/>
      <c r="Q207" s="128"/>
      <c r="R207" s="128"/>
      <c r="S207" s="1192"/>
      <c r="T207" s="1138" t="s">
        <v>35</v>
      </c>
      <c r="U207" s="1138">
        <f>COUNTIF(D195:D214,"잡")</f>
        <v>0</v>
      </c>
      <c r="V207" s="1139">
        <f>COUNTIF(I195:I214,"잡")</f>
        <v>0</v>
      </c>
      <c r="W207" s="1138" t="s">
        <v>26</v>
      </c>
      <c r="X207" s="1138">
        <f>SUMIF(D195:D214,"잡",F195:F214)</f>
        <v>0</v>
      </c>
      <c r="Y207" s="1139">
        <f>SUMIF(I195:I214,"잡",K195:K214)</f>
        <v>0</v>
      </c>
      <c r="Z207" s="1164">
        <f>COUNTIF(AJ195:AJ214,"잡국")+COUNTIF(AJ195:AJ214,"잡공")</f>
        <v>0</v>
      </c>
      <c r="AA207" s="1165">
        <f>COUNTIF(AK195:AK214,"잡국")+COUNTIF(AK195:AK214,"잡공")</f>
        <v>0</v>
      </c>
      <c r="AB207" s="1164" t="s">
        <v>26</v>
      </c>
      <c r="AC207" s="1164">
        <f>SUMIF(AJ195:AJ214,"잡국",F195:F214)+SUMIF(AJ195:AJ214,"잡공",F195:F214)</f>
        <v>0</v>
      </c>
      <c r="AD207" s="1165">
        <f>SUMIF(AK195:AK214,"잡국",K195:K214)+SUMIF(AK195:AK214,"잡공",K195:K214)</f>
        <v>0</v>
      </c>
      <c r="AE207" s="1138">
        <f t="shared" si="39"/>
        <v>0</v>
      </c>
      <c r="AF207" s="1139">
        <f t="shared" si="39"/>
        <v>0</v>
      </c>
      <c r="AG207" s="1138" t="s">
        <v>26</v>
      </c>
      <c r="AH207" s="1138">
        <f t="shared" si="40"/>
        <v>0</v>
      </c>
      <c r="AI207" s="1139">
        <f t="shared" si="40"/>
        <v>0</v>
      </c>
      <c r="AJ207" s="1138" t="str">
        <f t="shared" si="41"/>
        <v/>
      </c>
      <c r="AK207" s="1138" t="str">
        <f t="shared" si="42"/>
        <v/>
      </c>
      <c r="AL207" s="66"/>
      <c r="AM207" s="66"/>
    </row>
    <row r="208" spans="1:39" s="67" customFormat="1" ht="24" hidden="1" customHeight="1" x14ac:dyDescent="0.15">
      <c r="A208" s="160">
        <v>194</v>
      </c>
      <c r="B208" s="222"/>
      <c r="C208" s="419"/>
      <c r="D208" s="419"/>
      <c r="E208" s="464"/>
      <c r="F208" s="464"/>
      <c r="G208" s="344"/>
      <c r="H208" s="346"/>
      <c r="I208" s="346"/>
      <c r="J208" s="344"/>
      <c r="K208" s="417"/>
      <c r="L208" s="420"/>
      <c r="M208" s="420"/>
      <c r="N208" s="528"/>
      <c r="O208" s="528"/>
      <c r="P208" s="204"/>
      <c r="Q208" s="204"/>
      <c r="R208" s="204"/>
      <c r="S208" s="1192"/>
      <c r="T208" s="1138" t="s">
        <v>221</v>
      </c>
      <c r="U208" s="1138">
        <f>COUNTIF(D195:D214,"창")</f>
        <v>0</v>
      </c>
      <c r="V208" s="1139">
        <f>COUNTIF(I195:I214,"창")</f>
        <v>0</v>
      </c>
      <c r="W208" s="1138" t="s">
        <v>26</v>
      </c>
      <c r="X208" s="1138">
        <f>SUMIF(D195:D214,"창",F195:F214)</f>
        <v>0</v>
      </c>
      <c r="Y208" s="1139">
        <f>SUMIF(I195:I214,"창",K195:K214)</f>
        <v>0</v>
      </c>
      <c r="Z208" s="1164">
        <f>COUNTIF(AJ195:AJ214,"창국")+COUNTIF(AJ195:AJ214,"창공")</f>
        <v>0</v>
      </c>
      <c r="AA208" s="1165">
        <f>COUNTIF(AK195:AK214,"창국")+COUNTIF(AK195:AK214,"창공")</f>
        <v>0</v>
      </c>
      <c r="AB208" s="1164" t="s">
        <v>26</v>
      </c>
      <c r="AC208" s="1164">
        <f>SUMIF(AJ195:AJ214,"창국",F195:F214)+SUMIF(AJ195:AJ214,"창공",F195:F214)</f>
        <v>0</v>
      </c>
      <c r="AD208" s="1165">
        <f>SUMIF(AK195:AK214,"창국",K195:K214)+SUMIF(AK195:AK214,"창공",K195:K214)</f>
        <v>0</v>
      </c>
      <c r="AE208" s="1138">
        <f t="shared" si="39"/>
        <v>0</v>
      </c>
      <c r="AF208" s="1139">
        <f t="shared" si="39"/>
        <v>0</v>
      </c>
      <c r="AG208" s="1138" t="s">
        <v>26</v>
      </c>
      <c r="AH208" s="1138">
        <f t="shared" si="40"/>
        <v>0</v>
      </c>
      <c r="AI208" s="1139">
        <f t="shared" si="40"/>
        <v>0</v>
      </c>
      <c r="AJ208" s="1138" t="str">
        <f t="shared" si="41"/>
        <v/>
      </c>
      <c r="AK208" s="1138" t="str">
        <f t="shared" si="42"/>
        <v/>
      </c>
      <c r="AL208" s="66"/>
      <c r="AM208" s="66"/>
    </row>
    <row r="209" spans="1:39" s="67" customFormat="1" ht="24" hidden="1" customHeight="1" x14ac:dyDescent="0.15">
      <c r="A209" s="160">
        <v>195</v>
      </c>
      <c r="B209" s="222"/>
      <c r="C209" s="419"/>
      <c r="D209" s="419"/>
      <c r="E209" s="464"/>
      <c r="F209" s="464"/>
      <c r="G209" s="344"/>
      <c r="H209" s="346"/>
      <c r="I209" s="346"/>
      <c r="J209" s="344"/>
      <c r="K209" s="417"/>
      <c r="L209" s="420"/>
      <c r="M209" s="420"/>
      <c r="N209" s="528"/>
      <c r="O209" s="528"/>
      <c r="P209" s="204"/>
      <c r="Q209" s="204"/>
      <c r="R209" s="204"/>
      <c r="S209" s="1192"/>
      <c r="T209" s="1138" t="s">
        <v>50</v>
      </c>
      <c r="U209" s="1138">
        <f>COUNTIF(D195:D214,"공")</f>
        <v>0</v>
      </c>
      <c r="V209" s="1139">
        <f>COUNTIF(I195:I214,"공")</f>
        <v>0</v>
      </c>
      <c r="W209" s="1138" t="s">
        <v>26</v>
      </c>
      <c r="X209" s="1138">
        <f>SUMIF(D195:D214,"공",F195:F214)</f>
        <v>0</v>
      </c>
      <c r="Y209" s="1139">
        <f>SUMIF(I195:I214,"공",K195:K214)</f>
        <v>0</v>
      </c>
      <c r="Z209" s="1164">
        <f>COUNTIF(AJ195:AJ214,"공국")+COUNTIF(AJ195:AJ214,"공공")</f>
        <v>0</v>
      </c>
      <c r="AA209" s="1165">
        <f>COUNTIF(AK195:AK214,"공국")+COUNTIF(AK195:AK214,"공공")</f>
        <v>0</v>
      </c>
      <c r="AB209" s="1164" t="s">
        <v>26</v>
      </c>
      <c r="AC209" s="1164">
        <f>SUMIF(AJ195:AJ214,"공국",F195:F214)+SUMIF(AJ195:AJ214,"공공",F195:F214)</f>
        <v>0</v>
      </c>
      <c r="AD209" s="1165">
        <f>SUMIF(AK195:AK214,"공국",K195:K214)+SUMIF(AK195:AK214,"공공",K195:K214)</f>
        <v>0</v>
      </c>
      <c r="AE209" s="1138">
        <f t="shared" si="39"/>
        <v>0</v>
      </c>
      <c r="AF209" s="1139">
        <f t="shared" si="39"/>
        <v>0</v>
      </c>
      <c r="AG209" s="1138" t="s">
        <v>26</v>
      </c>
      <c r="AH209" s="1138">
        <f t="shared" si="40"/>
        <v>0</v>
      </c>
      <c r="AI209" s="1139">
        <f t="shared" si="40"/>
        <v>0</v>
      </c>
      <c r="AJ209" s="1138" t="str">
        <f t="shared" si="41"/>
        <v/>
      </c>
      <c r="AK209" s="1138" t="str">
        <f t="shared" si="42"/>
        <v/>
      </c>
      <c r="AL209" s="66"/>
      <c r="AM209" s="66"/>
    </row>
    <row r="210" spans="1:39" s="67" customFormat="1" ht="24" hidden="1" customHeight="1" x14ac:dyDescent="0.15">
      <c r="A210" s="160">
        <v>196</v>
      </c>
      <c r="B210" s="222"/>
      <c r="C210" s="419"/>
      <c r="D210" s="419"/>
      <c r="E210" s="464"/>
      <c r="F210" s="464"/>
      <c r="G210" s="344"/>
      <c r="H210" s="346"/>
      <c r="I210" s="346"/>
      <c r="J210" s="344"/>
      <c r="K210" s="417"/>
      <c r="L210" s="420"/>
      <c r="M210" s="420"/>
      <c r="N210" s="528"/>
      <c r="O210" s="528"/>
      <c r="P210" s="128"/>
      <c r="Q210" s="128"/>
      <c r="R210" s="128"/>
      <c r="S210" s="1192"/>
      <c r="T210" s="1142" t="s">
        <v>40</v>
      </c>
      <c r="U210" s="1138">
        <f>COUNTIF(D195:D214,"장")</f>
        <v>0</v>
      </c>
      <c r="V210" s="1139">
        <f>COUNTIF(I195:I214,"장")</f>
        <v>0</v>
      </c>
      <c r="W210" s="1138" t="s">
        <v>26</v>
      </c>
      <c r="X210" s="1138">
        <f>SUMIF(D195:D214,"장",F195:F214)</f>
        <v>0</v>
      </c>
      <c r="Y210" s="1139">
        <f>SUMIF(I195:I214,"장",K195:K214)</f>
        <v>0</v>
      </c>
      <c r="Z210" s="1164">
        <f>COUNTIF(AJ195:AJ214,"장국")+COUNTIF(AJ195:AJ214,"장공")</f>
        <v>0</v>
      </c>
      <c r="AA210" s="1165">
        <f>COUNTIF(AK195:AK214,"장국")+COUNTIF(AK195:AK214,"장공")</f>
        <v>0</v>
      </c>
      <c r="AB210" s="1164" t="s">
        <v>26</v>
      </c>
      <c r="AC210" s="1164">
        <f>SUMIF(AJ195:AJ214,"장국",F195:F214)+SUMIF(AJ195:AJ214,"장공",F195:F214)</f>
        <v>0</v>
      </c>
      <c r="AD210" s="1165">
        <f>SUMIF(AK195:AK214,"장국",K195:K214)+SUMIF(AK195:AK214,"장공",K195:K214)</f>
        <v>0</v>
      </c>
      <c r="AE210" s="1138">
        <f t="shared" si="39"/>
        <v>0</v>
      </c>
      <c r="AF210" s="1139">
        <f t="shared" si="39"/>
        <v>0</v>
      </c>
      <c r="AG210" s="1138" t="s">
        <v>26</v>
      </c>
      <c r="AH210" s="1138">
        <f t="shared" si="40"/>
        <v>0</v>
      </c>
      <c r="AI210" s="1139">
        <f t="shared" si="40"/>
        <v>0</v>
      </c>
      <c r="AJ210" s="1138" t="str">
        <f t="shared" si="41"/>
        <v/>
      </c>
      <c r="AK210" s="1138" t="str">
        <f t="shared" si="42"/>
        <v/>
      </c>
      <c r="AL210" s="66"/>
      <c r="AM210" s="66"/>
    </row>
    <row r="211" spans="1:39" s="67" customFormat="1" ht="24" hidden="1" customHeight="1" x14ac:dyDescent="0.15">
      <c r="A211" s="160">
        <v>197</v>
      </c>
      <c r="B211" s="222"/>
      <c r="C211" s="419"/>
      <c r="D211" s="419"/>
      <c r="E211" s="464"/>
      <c r="F211" s="464"/>
      <c r="G211" s="344"/>
      <c r="H211" s="346"/>
      <c r="I211" s="346"/>
      <c r="J211" s="344"/>
      <c r="K211" s="417"/>
      <c r="L211" s="420"/>
      <c r="M211" s="532"/>
      <c r="N211" s="528"/>
      <c r="O211" s="528"/>
      <c r="P211" s="204"/>
      <c r="Q211" s="204"/>
      <c r="R211" s="204"/>
      <c r="S211" s="1192"/>
      <c r="T211" s="1142" t="s">
        <v>5</v>
      </c>
      <c r="U211" s="1138">
        <f>COUNTIF(D195:D214,"목")</f>
        <v>0</v>
      </c>
      <c r="V211" s="1139">
        <f>COUNTIF(I195:I214,"목")</f>
        <v>0</v>
      </c>
      <c r="W211" s="1138" t="s">
        <v>26</v>
      </c>
      <c r="X211" s="1138">
        <f>SUMIF(D195:D214,"목",F195:F214)</f>
        <v>0</v>
      </c>
      <c r="Y211" s="1139">
        <f>SUMIF(I195:I214,"목",K195:K214)</f>
        <v>0</v>
      </c>
      <c r="Z211" s="1164">
        <f>COUNTIF(AJ195:AJ214,"목국")+COUNTIF(AJ195:AJ214,"목공")</f>
        <v>0</v>
      </c>
      <c r="AA211" s="1165">
        <f>COUNTIF(AK195:AK214,"목국")+COUNTIF(AK195:AK214,"목공")</f>
        <v>0</v>
      </c>
      <c r="AB211" s="1164" t="s">
        <v>26</v>
      </c>
      <c r="AC211" s="1164">
        <f>SUMIF(AJ195:AJ214,"목국",F195:F214)+SUMIF(AJ195:AJ214,"목공",F195:F214)</f>
        <v>0</v>
      </c>
      <c r="AD211" s="1165">
        <f>SUMIF(AK195:AK214,"목국",K195:K214)+SUMIF(AK195:AK214,"목공",K195:K214)</f>
        <v>0</v>
      </c>
      <c r="AE211" s="1138">
        <f t="shared" si="39"/>
        <v>0</v>
      </c>
      <c r="AF211" s="1139">
        <f t="shared" si="39"/>
        <v>0</v>
      </c>
      <c r="AG211" s="1138" t="s">
        <v>26</v>
      </c>
      <c r="AH211" s="1138">
        <f t="shared" si="40"/>
        <v>0</v>
      </c>
      <c r="AI211" s="1139">
        <f t="shared" si="40"/>
        <v>0</v>
      </c>
      <c r="AJ211" s="1138" t="str">
        <f t="shared" si="41"/>
        <v/>
      </c>
      <c r="AK211" s="1138" t="str">
        <f t="shared" si="42"/>
        <v/>
      </c>
      <c r="AL211" s="66"/>
      <c r="AM211" s="66"/>
    </row>
    <row r="212" spans="1:39" s="67" customFormat="1" ht="24" hidden="1" customHeight="1" x14ac:dyDescent="0.15">
      <c r="A212" s="160">
        <v>198</v>
      </c>
      <c r="B212" s="222"/>
      <c r="C212" s="421"/>
      <c r="D212" s="419"/>
      <c r="E212" s="465"/>
      <c r="F212" s="465"/>
      <c r="G212" s="344"/>
      <c r="H212" s="346"/>
      <c r="I212" s="346"/>
      <c r="J212" s="344"/>
      <c r="K212" s="417"/>
      <c r="L212" s="420"/>
      <c r="M212" s="420"/>
      <c r="N212" s="528"/>
      <c r="O212" s="528"/>
      <c r="P212" s="204"/>
      <c r="Q212" s="204"/>
      <c r="R212" s="204"/>
      <c r="S212" s="1192"/>
      <c r="T212" s="1142"/>
      <c r="U212" s="1142"/>
      <c r="V212" s="1143"/>
      <c r="W212" s="1142"/>
      <c r="X212" s="1142"/>
      <c r="Y212" s="1143"/>
      <c r="Z212" s="1164"/>
      <c r="AA212" s="1165"/>
      <c r="AB212" s="1173"/>
      <c r="AC212" s="1164"/>
      <c r="AD212" s="1165"/>
      <c r="AE212" s="1142"/>
      <c r="AF212" s="1143"/>
      <c r="AG212" s="1142"/>
      <c r="AH212" s="1142"/>
      <c r="AI212" s="1143"/>
      <c r="AJ212" s="1138" t="str">
        <f t="shared" si="41"/>
        <v/>
      </c>
      <c r="AK212" s="1138" t="str">
        <f t="shared" si="42"/>
        <v/>
      </c>
      <c r="AL212" s="66"/>
      <c r="AM212" s="66"/>
    </row>
    <row r="213" spans="1:39" s="67" customFormat="1" ht="24" hidden="1" customHeight="1" x14ac:dyDescent="0.15">
      <c r="A213" s="160">
        <v>199</v>
      </c>
      <c r="B213" s="222"/>
      <c r="C213" s="419"/>
      <c r="D213" s="419"/>
      <c r="E213" s="464"/>
      <c r="F213" s="464"/>
      <c r="G213" s="1197"/>
      <c r="H213" s="346"/>
      <c r="I213" s="346"/>
      <c r="J213" s="1197"/>
      <c r="K213" s="417"/>
      <c r="L213" s="420"/>
      <c r="M213" s="420"/>
      <c r="N213" s="528"/>
      <c r="O213" s="528"/>
      <c r="P213" s="128"/>
      <c r="Q213" s="128"/>
      <c r="R213" s="128"/>
      <c r="S213" s="1192"/>
      <c r="T213" s="1142"/>
      <c r="U213" s="1142"/>
      <c r="V213" s="1143"/>
      <c r="W213" s="1142"/>
      <c r="X213" s="1142"/>
      <c r="Y213" s="1143"/>
      <c r="Z213" s="1164"/>
      <c r="AA213" s="1165"/>
      <c r="AB213" s="1173"/>
      <c r="AC213" s="1164"/>
      <c r="AD213" s="1165"/>
      <c r="AE213" s="1142"/>
      <c r="AF213" s="1143"/>
      <c r="AG213" s="1142"/>
      <c r="AH213" s="1142"/>
      <c r="AI213" s="1143"/>
      <c r="AJ213" s="1138" t="str">
        <f t="shared" si="41"/>
        <v/>
      </c>
      <c r="AK213" s="1138" t="str">
        <f t="shared" si="42"/>
        <v/>
      </c>
      <c r="AL213" s="66"/>
      <c r="AM213" s="66"/>
    </row>
    <row r="214" spans="1:39" s="67" customFormat="1" ht="24" hidden="1" customHeight="1" x14ac:dyDescent="0.15">
      <c r="A214" s="160">
        <v>200</v>
      </c>
      <c r="B214" s="222"/>
      <c r="C214" s="421"/>
      <c r="D214" s="419"/>
      <c r="E214" s="465"/>
      <c r="F214" s="465"/>
      <c r="G214" s="1197"/>
      <c r="H214" s="346"/>
      <c r="I214" s="346"/>
      <c r="J214" s="1197"/>
      <c r="K214" s="417"/>
      <c r="L214" s="420"/>
      <c r="M214" s="420"/>
      <c r="N214" s="528"/>
      <c r="O214" s="528"/>
      <c r="P214" s="204"/>
      <c r="Q214" s="204"/>
      <c r="R214" s="204"/>
      <c r="S214" s="1192"/>
      <c r="T214" s="1144" t="s">
        <v>37</v>
      </c>
      <c r="U214" s="1144">
        <f>COUNTIF(D195:D214,"철")</f>
        <v>0</v>
      </c>
      <c r="V214" s="1145">
        <f>COUNTIF(I195:I214,"철")</f>
        <v>0</v>
      </c>
      <c r="W214" s="1144" t="s">
        <v>26</v>
      </c>
      <c r="X214" s="1144">
        <f>SUMIF(D195:D214,"철",F195:F214)</f>
        <v>0</v>
      </c>
      <c r="Y214" s="1145">
        <f>SUMIF(I195:I214,"철",K195:K214)</f>
        <v>0</v>
      </c>
      <c r="Z214" s="1164">
        <f>COUNTIF(AJ195:AJ214,"철국")+COUNTIF(AJ195:AJ214,"철공")</f>
        <v>0</v>
      </c>
      <c r="AA214" s="1165">
        <f>COUNTIF(AK195:AK214,"철국")+COUNTIF(AK195:AK214,"철공")</f>
        <v>0</v>
      </c>
      <c r="AB214" s="1174" t="s">
        <v>26</v>
      </c>
      <c r="AC214" s="1164">
        <f>SUMIF(AJ195:AJ214,"철국",F195:F214)+SUMIF(AJ195:AJ214,"철공",F195:F214)</f>
        <v>0</v>
      </c>
      <c r="AD214" s="1165">
        <f>SUMIF(AK195:AK214,"철국",K195:K214)+SUMIF(AK195:AK214,"철공",K195:K214)</f>
        <v>0</v>
      </c>
      <c r="AE214" s="1144"/>
      <c r="AF214" s="1145"/>
      <c r="AG214" s="1144"/>
      <c r="AH214" s="1144"/>
      <c r="AI214" s="1145"/>
      <c r="AJ214" s="1138" t="str">
        <f t="shared" si="41"/>
        <v/>
      </c>
      <c r="AK214" s="1138" t="str">
        <f t="shared" si="42"/>
        <v/>
      </c>
      <c r="AL214" s="66"/>
      <c r="AM214" s="66"/>
    </row>
    <row r="215" spans="1:39" s="57" customFormat="1" ht="24" hidden="1" customHeight="1" thickBot="1" x14ac:dyDescent="0.2">
      <c r="A215" s="1146" t="s">
        <v>48</v>
      </c>
      <c r="B215" s="1147"/>
      <c r="C215" s="1147"/>
      <c r="D215" s="1147"/>
      <c r="E215" s="1198"/>
      <c r="F215" s="1148">
        <f>SUM(F195:F214)</f>
        <v>0</v>
      </c>
      <c r="G215" s="1149"/>
      <c r="H215" s="1149"/>
      <c r="I215" s="1150"/>
      <c r="J215" s="1195"/>
      <c r="K215" s="1159">
        <f>SUM(K195:K214)</f>
        <v>0</v>
      </c>
      <c r="L215" s="1153"/>
      <c r="M215" s="1153"/>
      <c r="N215" s="1153"/>
      <c r="O215" s="1153"/>
      <c r="P215" s="1153"/>
      <c r="Q215" s="1153"/>
      <c r="R215" s="1153"/>
      <c r="S215" s="1155"/>
      <c r="T215" s="1156" t="s">
        <v>24</v>
      </c>
      <c r="U215" s="1157">
        <f t="shared" ref="U215:AA215" si="43">SUM(U195:U214)</f>
        <v>0</v>
      </c>
      <c r="V215" s="1157">
        <f t="shared" si="43"/>
        <v>0</v>
      </c>
      <c r="W215" s="1157">
        <f t="shared" si="43"/>
        <v>0</v>
      </c>
      <c r="X215" s="1157">
        <f t="shared" si="43"/>
        <v>0</v>
      </c>
      <c r="Y215" s="1157">
        <f t="shared" si="43"/>
        <v>0</v>
      </c>
      <c r="Z215" s="1164">
        <f t="shared" si="43"/>
        <v>0</v>
      </c>
      <c r="AA215" s="1165">
        <f t="shared" si="43"/>
        <v>0</v>
      </c>
      <c r="AB215" s="1164" t="s">
        <v>26</v>
      </c>
      <c r="AC215" s="1164">
        <f>SUM(AC195:AC214)</f>
        <v>0</v>
      </c>
      <c r="AD215" s="1165">
        <f>SUM(AD195:AD214)</f>
        <v>0</v>
      </c>
      <c r="AE215" s="1157">
        <f>SUM(AE195:AE214)</f>
        <v>0</v>
      </c>
      <c r="AF215" s="1157">
        <f>SUM(AF195:AF214)</f>
        <v>0</v>
      </c>
      <c r="AG215" s="1157" t="s">
        <v>26</v>
      </c>
      <c r="AH215" s="1157">
        <f>SUM(AH195:AH214)</f>
        <v>0</v>
      </c>
      <c r="AI215" s="1157">
        <f>SUM(AI195:AI214)</f>
        <v>0</v>
      </c>
      <c r="AJ215" s="1157"/>
      <c r="AK215" s="1138" t="str">
        <f t="shared" si="42"/>
        <v/>
      </c>
    </row>
    <row r="216" spans="1:39" s="67" customFormat="1" ht="24" hidden="1" customHeight="1" x14ac:dyDescent="0.15">
      <c r="A216" s="159">
        <v>201</v>
      </c>
      <c r="B216" s="1160"/>
      <c r="C216" s="553"/>
      <c r="D216" s="553"/>
      <c r="E216" s="590"/>
      <c r="F216" s="554"/>
      <c r="G216" s="490"/>
      <c r="H216" s="1182"/>
      <c r="I216" s="1182"/>
      <c r="J216" s="490"/>
      <c r="K216" s="488"/>
      <c r="L216" s="556"/>
      <c r="M216" s="556"/>
      <c r="N216" s="557"/>
      <c r="O216" s="557"/>
      <c r="P216" s="144"/>
      <c r="Q216" s="144"/>
      <c r="R216" s="144"/>
      <c r="S216" s="1196"/>
      <c r="T216" s="1138" t="s">
        <v>27</v>
      </c>
      <c r="U216" s="1138">
        <f>COUNTIF(D216:D235,"전")</f>
        <v>0</v>
      </c>
      <c r="V216" s="1139">
        <f>COUNTIF(I216:I235,"전")</f>
        <v>0</v>
      </c>
      <c r="W216" s="1138" t="s">
        <v>26</v>
      </c>
      <c r="X216" s="1138">
        <f>SUMIF(D216:D235,"전",F216:F235)</f>
        <v>0</v>
      </c>
      <c r="Y216" s="1139">
        <f>SUMIF(I216:I235,"전",K216:K235)</f>
        <v>0</v>
      </c>
      <c r="Z216" s="1164">
        <f>COUNTIF(AJ216:AJ235,"전국")+COUNTIF(AJ216:AJ235,"전공")</f>
        <v>0</v>
      </c>
      <c r="AA216" s="1165">
        <f>COUNTIF(AK216:AK235,"전국")+COUNTIF(AK216:AK235,"전공")</f>
        <v>0</v>
      </c>
      <c r="AB216" s="1164" t="s">
        <v>26</v>
      </c>
      <c r="AC216" s="1164">
        <f>SUMIF(AJ216:AJ235,"전국",F216:F235)+SUMIF(AJ216:AJ235,"전공",F216:F235)</f>
        <v>0</v>
      </c>
      <c r="AD216" s="1165">
        <f>SUMIF(AK216:AK235,"전국",K216:K235)+SUMIF(AK216:AK235,"전공",K216:K235)</f>
        <v>0</v>
      </c>
      <c r="AE216" s="1138">
        <f t="shared" ref="AE216:AF232" si="44">U216-Z216</f>
        <v>0</v>
      </c>
      <c r="AF216" s="1139">
        <f t="shared" si="44"/>
        <v>0</v>
      </c>
      <c r="AG216" s="1138" t="s">
        <v>26</v>
      </c>
      <c r="AH216" s="1138">
        <f t="shared" ref="AH216:AI232" si="45">X216-AC216</f>
        <v>0</v>
      </c>
      <c r="AI216" s="1139">
        <f t="shared" si="45"/>
        <v>0</v>
      </c>
      <c r="AJ216" s="1138" t="str">
        <f t="shared" ref="AJ216:AJ235" si="46">CONCATENATE(D216,L216)</f>
        <v/>
      </c>
      <c r="AK216" s="1138" t="str">
        <f t="shared" ref="AK216:AK235" si="47">CONCATENATE(I216,L216)</f>
        <v/>
      </c>
      <c r="AL216" s="66"/>
      <c r="AM216" s="66"/>
    </row>
    <row r="217" spans="1:39" s="67" customFormat="1" ht="24" hidden="1" customHeight="1" x14ac:dyDescent="0.15">
      <c r="A217" s="160">
        <v>202</v>
      </c>
      <c r="B217" s="222"/>
      <c r="C217" s="419"/>
      <c r="D217" s="419"/>
      <c r="E217" s="464"/>
      <c r="F217" s="464"/>
      <c r="G217" s="344"/>
      <c r="H217" s="346"/>
      <c r="I217" s="346"/>
      <c r="J217" s="344"/>
      <c r="K217" s="417"/>
      <c r="L217" s="420"/>
      <c r="M217" s="420"/>
      <c r="N217" s="528"/>
      <c r="O217" s="528"/>
      <c r="P217" s="128"/>
      <c r="Q217" s="128"/>
      <c r="R217" s="128"/>
      <c r="S217" s="1192"/>
      <c r="T217" s="1138" t="s">
        <v>28</v>
      </c>
      <c r="U217" s="1138">
        <f>COUNTIF(D216:D235,"답")</f>
        <v>0</v>
      </c>
      <c r="V217" s="1139">
        <f>COUNTIF(I216:I235,"답")</f>
        <v>0</v>
      </c>
      <c r="W217" s="1138" t="s">
        <v>26</v>
      </c>
      <c r="X217" s="1138">
        <f>SUMIF(D216:D235,"답",F216:F235)</f>
        <v>0</v>
      </c>
      <c r="Y217" s="1139">
        <f>SUMIF(I216:I235,"답",K216:K235)</f>
        <v>0</v>
      </c>
      <c r="Z217" s="1164">
        <f>COUNTIF(AJ216:AJ235,"답국")+COUNTIF(AJ216:AJ235,"답공")</f>
        <v>0</v>
      </c>
      <c r="AA217" s="1165">
        <f>COUNTIF(AK216:AK235,"답국")+COUNTIF(AK216:AK235,"답공")</f>
        <v>0</v>
      </c>
      <c r="AB217" s="1164" t="s">
        <v>26</v>
      </c>
      <c r="AC217" s="1164">
        <f>SUMIF(AJ216:AJ235,"답국",F216:F235)+SUMIF(AJ216:AJ235,"답공",F216:F235)</f>
        <v>0</v>
      </c>
      <c r="AD217" s="1165">
        <f>SUMIF(AK216:AK235,"답국",K216:K235)+SUMIF(AK216:AK235,"답공",K216:K235)</f>
        <v>0</v>
      </c>
      <c r="AE217" s="1138">
        <f t="shared" si="44"/>
        <v>0</v>
      </c>
      <c r="AF217" s="1139">
        <f t="shared" si="44"/>
        <v>0</v>
      </c>
      <c r="AG217" s="1138" t="s">
        <v>26</v>
      </c>
      <c r="AH217" s="1138">
        <f t="shared" si="45"/>
        <v>0</v>
      </c>
      <c r="AI217" s="1139">
        <f t="shared" si="45"/>
        <v>0</v>
      </c>
      <c r="AJ217" s="1138" t="str">
        <f t="shared" si="46"/>
        <v/>
      </c>
      <c r="AK217" s="1138" t="str">
        <f t="shared" si="47"/>
        <v/>
      </c>
      <c r="AL217" s="66"/>
      <c r="AM217" s="66"/>
    </row>
    <row r="218" spans="1:39" s="67" customFormat="1" ht="24" hidden="1" customHeight="1" x14ac:dyDescent="0.15">
      <c r="A218" s="160">
        <v>203</v>
      </c>
      <c r="B218" s="222"/>
      <c r="C218" s="419"/>
      <c r="D218" s="419"/>
      <c r="E218" s="464"/>
      <c r="F218" s="464"/>
      <c r="G218" s="344"/>
      <c r="H218" s="346"/>
      <c r="I218" s="346"/>
      <c r="J218" s="344"/>
      <c r="K218" s="417"/>
      <c r="L218" s="420"/>
      <c r="M218" s="420"/>
      <c r="N218" s="528"/>
      <c r="O218" s="528"/>
      <c r="P218" s="204"/>
      <c r="Q218" s="204"/>
      <c r="R218" s="204"/>
      <c r="S218" s="1192"/>
      <c r="T218" s="1138" t="s">
        <v>44</v>
      </c>
      <c r="U218" s="1138">
        <f>COUNTIF(D216:D235,"임")</f>
        <v>0</v>
      </c>
      <c r="V218" s="1139">
        <f>COUNTIF(I216:I235,"임")</f>
        <v>0</v>
      </c>
      <c r="W218" s="1138" t="s">
        <v>26</v>
      </c>
      <c r="X218" s="1138">
        <f>SUMIF(D216:D235,"임",F216:F235)</f>
        <v>0</v>
      </c>
      <c r="Y218" s="1139">
        <f>SUMIF(I216:I235,"임",K216:K235)</f>
        <v>0</v>
      </c>
      <c r="Z218" s="1164">
        <f>COUNTIF(AJ216:AJ235,"임국")+COUNTIF(AJ216:AJ235,"임공")</f>
        <v>0</v>
      </c>
      <c r="AA218" s="1165">
        <f>COUNTIF(AK216:AK235,"임국")+COUNTIF(AK216:AK235,"임공")</f>
        <v>0</v>
      </c>
      <c r="AB218" s="1164" t="s">
        <v>26</v>
      </c>
      <c r="AC218" s="1164">
        <f>SUMIF(AJ216:AJ235,"임국",F216:F235)+SUMIF(AJ216:AJ235,"임공",F216:F235)</f>
        <v>0</v>
      </c>
      <c r="AD218" s="1165">
        <f>SUMIF(AK216:AK235,"임국",K216:K235)+SUMIF(AK216:AK235,"임공",K216:K235)</f>
        <v>0</v>
      </c>
      <c r="AE218" s="1138">
        <f t="shared" si="44"/>
        <v>0</v>
      </c>
      <c r="AF218" s="1139">
        <f t="shared" si="44"/>
        <v>0</v>
      </c>
      <c r="AG218" s="1138" t="s">
        <v>26</v>
      </c>
      <c r="AH218" s="1138">
        <f t="shared" si="45"/>
        <v>0</v>
      </c>
      <c r="AI218" s="1139">
        <f t="shared" si="45"/>
        <v>0</v>
      </c>
      <c r="AJ218" s="1138" t="str">
        <f t="shared" si="46"/>
        <v/>
      </c>
      <c r="AK218" s="1138" t="str">
        <f t="shared" si="47"/>
        <v/>
      </c>
      <c r="AL218" s="66"/>
      <c r="AM218" s="66"/>
    </row>
    <row r="219" spans="1:39" s="67" customFormat="1" ht="24" hidden="1" customHeight="1" x14ac:dyDescent="0.15">
      <c r="A219" s="160">
        <v>204</v>
      </c>
      <c r="B219" s="222"/>
      <c r="C219" s="419"/>
      <c r="D219" s="419"/>
      <c r="E219" s="464"/>
      <c r="F219" s="464"/>
      <c r="G219" s="1197"/>
      <c r="H219" s="346"/>
      <c r="I219" s="346"/>
      <c r="J219" s="1197"/>
      <c r="K219" s="417"/>
      <c r="L219" s="420"/>
      <c r="M219" s="420"/>
      <c r="N219" s="528"/>
      <c r="O219" s="528"/>
      <c r="P219" s="204"/>
      <c r="Q219" s="204"/>
      <c r="R219" s="204"/>
      <c r="S219" s="1192"/>
      <c r="T219" s="1138" t="s">
        <v>45</v>
      </c>
      <c r="U219" s="1138">
        <f>COUNTIF(D216:D235,"대")</f>
        <v>0</v>
      </c>
      <c r="V219" s="1139">
        <f>COUNTIF(I216:I235,"대")</f>
        <v>0</v>
      </c>
      <c r="W219" s="1138" t="s">
        <v>26</v>
      </c>
      <c r="X219" s="1138">
        <f>SUMIF(D216:D235,"대",F216:F235)</f>
        <v>0</v>
      </c>
      <c r="Y219" s="1139">
        <f>SUMIF(I216:I235,"대",K216:K235)</f>
        <v>0</v>
      </c>
      <c r="Z219" s="1164">
        <f>COUNTIF(AJ216:AJ235,"대국")+COUNTIF(AJ216:AJ235,"대공")</f>
        <v>0</v>
      </c>
      <c r="AA219" s="1165">
        <f>COUNTIF(AK216:AK235,"대국")+COUNTIF(AK216:AK235,"대공")</f>
        <v>0</v>
      </c>
      <c r="AB219" s="1164" t="s">
        <v>26</v>
      </c>
      <c r="AC219" s="1164">
        <f>SUMIF(AJ216:AJ235,"대국",F216:F235)+SUMIF(AJ216:AJ235,"대공",F216:F235)</f>
        <v>0</v>
      </c>
      <c r="AD219" s="1165">
        <f>SUMIF(AK216:AK235,"대국",K216:K235)+SUMIF(AK216:AK235,"대공",K216:K235)</f>
        <v>0</v>
      </c>
      <c r="AE219" s="1138">
        <f t="shared" si="44"/>
        <v>0</v>
      </c>
      <c r="AF219" s="1139">
        <f t="shared" si="44"/>
        <v>0</v>
      </c>
      <c r="AG219" s="1138" t="s">
        <v>26</v>
      </c>
      <c r="AH219" s="1138">
        <f t="shared" si="45"/>
        <v>0</v>
      </c>
      <c r="AI219" s="1139">
        <f t="shared" si="45"/>
        <v>0</v>
      </c>
      <c r="AJ219" s="1138" t="str">
        <f t="shared" si="46"/>
        <v/>
      </c>
      <c r="AK219" s="1138" t="str">
        <f t="shared" si="47"/>
        <v/>
      </c>
      <c r="AL219" s="66"/>
      <c r="AM219" s="66"/>
    </row>
    <row r="220" spans="1:39" s="67" customFormat="1" ht="24" hidden="1" customHeight="1" x14ac:dyDescent="0.15">
      <c r="A220" s="160">
        <v>205</v>
      </c>
      <c r="B220" s="222"/>
      <c r="C220" s="419"/>
      <c r="D220" s="419"/>
      <c r="E220" s="464"/>
      <c r="F220" s="464"/>
      <c r="G220" s="344"/>
      <c r="H220" s="346"/>
      <c r="I220" s="346"/>
      <c r="J220" s="344"/>
      <c r="K220" s="417"/>
      <c r="L220" s="420"/>
      <c r="M220" s="420"/>
      <c r="N220" s="528"/>
      <c r="O220" s="528"/>
      <c r="P220" s="204"/>
      <c r="Q220" s="204"/>
      <c r="R220" s="204"/>
      <c r="S220" s="1192"/>
      <c r="T220" s="1138" t="s">
        <v>31</v>
      </c>
      <c r="U220" s="1138">
        <f>COUNTIF(D216:D235,"도")</f>
        <v>0</v>
      </c>
      <c r="V220" s="1139">
        <f>COUNTIF(I216:I235,"도")</f>
        <v>0</v>
      </c>
      <c r="W220" s="1138" t="s">
        <v>26</v>
      </c>
      <c r="X220" s="1138">
        <f>SUMIF(D216:D235,"도",F216:F235)</f>
        <v>0</v>
      </c>
      <c r="Y220" s="1139">
        <f>SUMIF(I216:I235,"도",K216:K235)</f>
        <v>0</v>
      </c>
      <c r="Z220" s="1164">
        <f>COUNTIF(AJ216:AJ235,"도국")+COUNTIF(AJ216:AJ235,"도공")</f>
        <v>0</v>
      </c>
      <c r="AA220" s="1165">
        <f>COUNTIF(AK216:AK235,"도국")+COUNTIF(AK216:AK235,"도공")</f>
        <v>0</v>
      </c>
      <c r="AB220" s="1164" t="s">
        <v>26</v>
      </c>
      <c r="AC220" s="1164">
        <f>SUMIF(AJ216:AJ235,"도국",F216:F235)+SUMIF(AJ216:AJ235,"도공",F216:F235)</f>
        <v>0</v>
      </c>
      <c r="AD220" s="1165">
        <f>SUMIF(AK216:AK235,"도국",K216:K235)+SUMIF(AK216:AK235,"도공",K216:K235)</f>
        <v>0</v>
      </c>
      <c r="AE220" s="1138">
        <f t="shared" si="44"/>
        <v>0</v>
      </c>
      <c r="AF220" s="1139">
        <f t="shared" si="44"/>
        <v>0</v>
      </c>
      <c r="AG220" s="1138" t="s">
        <v>26</v>
      </c>
      <c r="AH220" s="1138">
        <f t="shared" si="45"/>
        <v>0</v>
      </c>
      <c r="AI220" s="1139">
        <f t="shared" si="45"/>
        <v>0</v>
      </c>
      <c r="AJ220" s="1138" t="str">
        <f t="shared" si="46"/>
        <v/>
      </c>
      <c r="AK220" s="1138" t="str">
        <f t="shared" si="47"/>
        <v/>
      </c>
      <c r="AL220" s="66"/>
      <c r="AM220" s="66"/>
    </row>
    <row r="221" spans="1:39" s="67" customFormat="1" ht="24" hidden="1" customHeight="1" x14ac:dyDescent="0.15">
      <c r="A221" s="160">
        <v>206</v>
      </c>
      <c r="B221" s="222"/>
      <c r="C221" s="419"/>
      <c r="D221" s="419"/>
      <c r="E221" s="464"/>
      <c r="F221" s="464"/>
      <c r="G221" s="344"/>
      <c r="H221" s="346"/>
      <c r="I221" s="346"/>
      <c r="J221" s="344"/>
      <c r="K221" s="417"/>
      <c r="L221" s="420"/>
      <c r="M221" s="420"/>
      <c r="N221" s="528"/>
      <c r="O221" s="528"/>
      <c r="P221" s="204"/>
      <c r="Q221" s="204"/>
      <c r="R221" s="204"/>
      <c r="S221" s="1192"/>
      <c r="T221" s="1138" t="s">
        <v>32</v>
      </c>
      <c r="U221" s="1140">
        <f>COUNTIF(D216:D235,"천")</f>
        <v>0</v>
      </c>
      <c r="V221" s="1141">
        <f>COUNTIF(I216:I235,"천")</f>
        <v>0</v>
      </c>
      <c r="W221" s="1138" t="s">
        <v>26</v>
      </c>
      <c r="X221" s="1138">
        <f>SUMIF(D216:D235,"천",F216:F235)</f>
        <v>0</v>
      </c>
      <c r="Y221" s="1139">
        <f>SUMIF(I216:I235,"천",K216:K235)</f>
        <v>0</v>
      </c>
      <c r="Z221" s="1164">
        <f>COUNTIF(AJ216:AJ235,"천국")+COUNTIF(AJ216:AJ235,"천공")</f>
        <v>0</v>
      </c>
      <c r="AA221" s="1165">
        <f>COUNTIF(AK216:AK235,"천국")+COUNTIF(AK216:AK235,"천공")</f>
        <v>0</v>
      </c>
      <c r="AB221" s="1164" t="s">
        <v>26</v>
      </c>
      <c r="AC221" s="1164">
        <f>SUMIF(AJ216:AJ235,"천국",F216:F235)+SUMIF(AJ216:AJ235,"천공",F216:F235)</f>
        <v>0</v>
      </c>
      <c r="AD221" s="1165">
        <f>SUMIF(AK216:AK235,"천국",K216:K235)+SUMIF(AK216:AK235,"천공",K216:K235)</f>
        <v>0</v>
      </c>
      <c r="AE221" s="1138">
        <f t="shared" si="44"/>
        <v>0</v>
      </c>
      <c r="AF221" s="1139">
        <f t="shared" si="44"/>
        <v>0</v>
      </c>
      <c r="AG221" s="1138" t="s">
        <v>26</v>
      </c>
      <c r="AH221" s="1138">
        <f t="shared" si="45"/>
        <v>0</v>
      </c>
      <c r="AI221" s="1139">
        <f t="shared" si="45"/>
        <v>0</v>
      </c>
      <c r="AJ221" s="1138" t="str">
        <f t="shared" si="46"/>
        <v/>
      </c>
      <c r="AK221" s="1138" t="str">
        <f t="shared" si="47"/>
        <v/>
      </c>
      <c r="AL221" s="66"/>
      <c r="AM221" s="66"/>
    </row>
    <row r="222" spans="1:39" s="67" customFormat="1" ht="24" hidden="1" customHeight="1" x14ac:dyDescent="0.15">
      <c r="A222" s="160">
        <v>207</v>
      </c>
      <c r="B222" s="222"/>
      <c r="C222" s="419"/>
      <c r="D222" s="419"/>
      <c r="E222" s="464"/>
      <c r="F222" s="464"/>
      <c r="G222" s="344"/>
      <c r="H222" s="346"/>
      <c r="I222" s="346"/>
      <c r="J222" s="344"/>
      <c r="K222" s="417"/>
      <c r="L222" s="420"/>
      <c r="M222" s="420"/>
      <c r="N222" s="528"/>
      <c r="O222" s="528"/>
      <c r="P222" s="204"/>
      <c r="Q222" s="204"/>
      <c r="R222" s="204"/>
      <c r="S222" s="1192"/>
      <c r="T222" s="1138" t="s">
        <v>33</v>
      </c>
      <c r="U222" s="1138">
        <f>COUNTIF(D216:D235,"구")</f>
        <v>0</v>
      </c>
      <c r="V222" s="1139">
        <f>COUNTIF(I216:I235,"구")</f>
        <v>0</v>
      </c>
      <c r="W222" s="1138" t="s">
        <v>26</v>
      </c>
      <c r="X222" s="1138">
        <f>SUMIF(D216:D235,"구",F216:F235)</f>
        <v>0</v>
      </c>
      <c r="Y222" s="1139">
        <f>SUMIF(I216:I235,"구",K216:K235)</f>
        <v>0</v>
      </c>
      <c r="Z222" s="1164">
        <f>COUNTIF(AJ216:AJ235,"구국")+COUNTIF(AJ216:AJ235,"구공")</f>
        <v>0</v>
      </c>
      <c r="AA222" s="1165">
        <f>COUNTIF(AK216:AK235,"구국")+COUNTIF(AK216:AK235,"구공")</f>
        <v>0</v>
      </c>
      <c r="AB222" s="1164" t="s">
        <v>26</v>
      </c>
      <c r="AC222" s="1164">
        <f>SUMIF(AJ216:AJ235,"구국",F216:F235)+SUMIF(AJ216:AJ235,"구공",F216:F235)</f>
        <v>0</v>
      </c>
      <c r="AD222" s="1165">
        <f>SUMIF(AK216:AK235,"구국",K216:K235)+SUMIF(AK216:AK235,"구공",K216:K235)</f>
        <v>0</v>
      </c>
      <c r="AE222" s="1138">
        <f t="shared" si="44"/>
        <v>0</v>
      </c>
      <c r="AF222" s="1139">
        <f t="shared" si="44"/>
        <v>0</v>
      </c>
      <c r="AG222" s="1138" t="s">
        <v>26</v>
      </c>
      <c r="AH222" s="1138">
        <f t="shared" si="45"/>
        <v>0</v>
      </c>
      <c r="AI222" s="1139">
        <f t="shared" si="45"/>
        <v>0</v>
      </c>
      <c r="AJ222" s="1138" t="str">
        <f t="shared" si="46"/>
        <v/>
      </c>
      <c r="AK222" s="1138" t="str">
        <f t="shared" si="47"/>
        <v/>
      </c>
      <c r="AL222" s="66"/>
      <c r="AM222" s="66"/>
    </row>
    <row r="223" spans="1:39" s="67" customFormat="1" ht="24" hidden="1" customHeight="1" x14ac:dyDescent="0.15">
      <c r="A223" s="160">
        <v>208</v>
      </c>
      <c r="B223" s="222"/>
      <c r="C223" s="419"/>
      <c r="D223" s="419"/>
      <c r="E223" s="464"/>
      <c r="F223" s="464"/>
      <c r="G223" s="344"/>
      <c r="H223" s="346"/>
      <c r="I223" s="346"/>
      <c r="J223" s="344"/>
      <c r="K223" s="417"/>
      <c r="L223" s="420"/>
      <c r="M223" s="420"/>
      <c r="N223" s="528"/>
      <c r="O223" s="567"/>
      <c r="P223" s="204"/>
      <c r="Q223" s="204"/>
      <c r="R223" s="204"/>
      <c r="S223" s="1192"/>
      <c r="T223" s="1138" t="s">
        <v>34</v>
      </c>
      <c r="U223" s="1138">
        <f>COUNTIF(D216:D235,"제")</f>
        <v>0</v>
      </c>
      <c r="V223" s="1139">
        <f>COUNTIF(I216:I235,"제")</f>
        <v>0</v>
      </c>
      <c r="W223" s="1138" t="s">
        <v>26</v>
      </c>
      <c r="X223" s="1138">
        <f>SUMIF(D216:D235,"제",F216:F235)</f>
        <v>0</v>
      </c>
      <c r="Y223" s="1139">
        <f>SUMIF(I216:I235,"제",K216:K235)</f>
        <v>0</v>
      </c>
      <c r="Z223" s="1164">
        <f>COUNTIF(AJ216:AJ235,"제국")+COUNTIF(AJ216:AJ235,"제공")</f>
        <v>0</v>
      </c>
      <c r="AA223" s="1165">
        <f>COUNTIF(AK216:AK235,"제국")+COUNTIF(AK216:AK235,"제공")</f>
        <v>0</v>
      </c>
      <c r="AB223" s="1164" t="s">
        <v>26</v>
      </c>
      <c r="AC223" s="1164">
        <f>SUMIF(AJ216:AJ235,"제국",F216:F235)+SUMIF(AJ216:AJ235,"제공",F216:F235)</f>
        <v>0</v>
      </c>
      <c r="AD223" s="1165">
        <f>SUMIF(AK216:AK235,"제국",K216:K235)+SUMIF(AK216:AK235,"제공",K216:K235)</f>
        <v>0</v>
      </c>
      <c r="AE223" s="1138">
        <f t="shared" si="44"/>
        <v>0</v>
      </c>
      <c r="AF223" s="1139">
        <f t="shared" si="44"/>
        <v>0</v>
      </c>
      <c r="AG223" s="1138" t="s">
        <v>26</v>
      </c>
      <c r="AH223" s="1138">
        <f t="shared" si="45"/>
        <v>0</v>
      </c>
      <c r="AI223" s="1139">
        <f t="shared" si="45"/>
        <v>0</v>
      </c>
      <c r="AJ223" s="1138" t="str">
        <f t="shared" si="46"/>
        <v/>
      </c>
      <c r="AK223" s="1138" t="str">
        <f t="shared" si="47"/>
        <v/>
      </c>
      <c r="AL223" s="66"/>
      <c r="AM223" s="66"/>
    </row>
    <row r="224" spans="1:39" s="67" customFormat="1" ht="24" hidden="1" customHeight="1" x14ac:dyDescent="0.15">
      <c r="A224" s="160">
        <v>209</v>
      </c>
      <c r="B224" s="222"/>
      <c r="C224" s="581"/>
      <c r="D224" s="581"/>
      <c r="E224" s="582"/>
      <c r="F224" s="582"/>
      <c r="G224" s="616"/>
      <c r="H224" s="1176"/>
      <c r="I224" s="1176"/>
      <c r="J224" s="616"/>
      <c r="K224" s="600"/>
      <c r="L224" s="586"/>
      <c r="M224" s="586"/>
      <c r="N224" s="587"/>
      <c r="O224" s="587"/>
      <c r="P224" s="193"/>
      <c r="Q224" s="193"/>
      <c r="R224" s="193"/>
      <c r="S224" s="1192"/>
      <c r="T224" s="1138" t="s">
        <v>46</v>
      </c>
      <c r="U224" s="1138">
        <f>COUNTIF(D216:D235,"유")</f>
        <v>0</v>
      </c>
      <c r="V224" s="1139">
        <f>COUNTIF(I216:I235,"유")</f>
        <v>0</v>
      </c>
      <c r="W224" s="1138" t="s">
        <v>26</v>
      </c>
      <c r="X224" s="1138">
        <f>SUMIF(D216:D235,"유",F216:F235)</f>
        <v>0</v>
      </c>
      <c r="Y224" s="1139">
        <f>SUMIF(I216:I235,"유",K216:K235)</f>
        <v>0</v>
      </c>
      <c r="Z224" s="1164">
        <f>COUNTIF(AJ216:AJ235,"유국")+COUNTIF(AJ216:AJ235,"유공")</f>
        <v>0</v>
      </c>
      <c r="AA224" s="1165">
        <f>COUNTIF(AK216:AK235,"유국")+COUNTIF(AK216:AK235,"유공")</f>
        <v>0</v>
      </c>
      <c r="AB224" s="1164" t="s">
        <v>26</v>
      </c>
      <c r="AC224" s="1164">
        <f>SUMIF(AJ216:AJ235,"유국",F216:F235)+SUMIF(AJ216:AJ235,"유공",F216:F235)</f>
        <v>0</v>
      </c>
      <c r="AD224" s="1165">
        <f>SUMIF(AK216:AK235,"유국",K216:K235)+SUMIF(AK216:AK235,"유공",K216:K235)</f>
        <v>0</v>
      </c>
      <c r="AE224" s="1138">
        <f t="shared" si="44"/>
        <v>0</v>
      </c>
      <c r="AF224" s="1139">
        <f t="shared" si="44"/>
        <v>0</v>
      </c>
      <c r="AG224" s="1138" t="s">
        <v>26</v>
      </c>
      <c r="AH224" s="1138">
        <f t="shared" si="45"/>
        <v>0</v>
      </c>
      <c r="AI224" s="1139">
        <f t="shared" si="45"/>
        <v>0</v>
      </c>
      <c r="AJ224" s="1138" t="str">
        <f t="shared" si="46"/>
        <v/>
      </c>
      <c r="AK224" s="1138" t="str">
        <f t="shared" si="47"/>
        <v/>
      </c>
      <c r="AL224" s="66"/>
      <c r="AM224" s="66"/>
    </row>
    <row r="225" spans="1:39" s="67" customFormat="1" ht="24" hidden="1" customHeight="1" x14ac:dyDescent="0.15">
      <c r="A225" s="160">
        <v>210</v>
      </c>
      <c r="B225" s="222"/>
      <c r="C225" s="419"/>
      <c r="D225" s="419"/>
      <c r="E225" s="464"/>
      <c r="F225" s="464"/>
      <c r="G225" s="344"/>
      <c r="H225" s="346"/>
      <c r="I225" s="346"/>
      <c r="J225" s="344"/>
      <c r="K225" s="417"/>
      <c r="L225" s="420"/>
      <c r="M225" s="532"/>
      <c r="N225" s="528"/>
      <c r="O225" s="528"/>
      <c r="P225" s="128"/>
      <c r="Q225" s="128"/>
      <c r="R225" s="128"/>
      <c r="S225" s="1192"/>
      <c r="T225" s="1138" t="s">
        <v>47</v>
      </c>
      <c r="U225" s="1138">
        <f>COUNTIF(D216:D235,"과")</f>
        <v>0</v>
      </c>
      <c r="V225" s="1139">
        <f>COUNTIF(I216:I235,"과")</f>
        <v>0</v>
      </c>
      <c r="W225" s="1138" t="s">
        <v>26</v>
      </c>
      <c r="X225" s="1138">
        <f>SUMIF(D216:D235,"과",F216:F235)</f>
        <v>0</v>
      </c>
      <c r="Y225" s="1139">
        <f>SUMIF(I216:I235,"과",K216:K235)</f>
        <v>0</v>
      </c>
      <c r="Z225" s="1164">
        <f>COUNTIF(AJ216:AJ235,"과국")+COUNTIF(AJ216:AJ235,"과공")</f>
        <v>0</v>
      </c>
      <c r="AA225" s="1165">
        <f>COUNTIF(AK216:AK235,"과국")+COUNTIF(AK216:AK235,"과공")</f>
        <v>0</v>
      </c>
      <c r="AB225" s="1164" t="s">
        <v>26</v>
      </c>
      <c r="AC225" s="1164">
        <f>SUMIF(AJ216:AJ235,"과국",F216:F235)+SUMIF(AJ216:AJ235,"과공",F216:F235)</f>
        <v>0</v>
      </c>
      <c r="AD225" s="1165">
        <f>SUMIF(AK216:AK235,"과국",K216:K235)+SUMIF(AK216:AK235,"과공",K216:K235)</f>
        <v>0</v>
      </c>
      <c r="AE225" s="1138">
        <f t="shared" si="44"/>
        <v>0</v>
      </c>
      <c r="AF225" s="1139">
        <f t="shared" si="44"/>
        <v>0</v>
      </c>
      <c r="AG225" s="1138" t="s">
        <v>26</v>
      </c>
      <c r="AH225" s="1138">
        <f t="shared" si="45"/>
        <v>0</v>
      </c>
      <c r="AI225" s="1139">
        <f t="shared" si="45"/>
        <v>0</v>
      </c>
      <c r="AJ225" s="1138" t="str">
        <f t="shared" si="46"/>
        <v/>
      </c>
      <c r="AK225" s="1138" t="str">
        <f t="shared" si="47"/>
        <v/>
      </c>
      <c r="AL225" s="66"/>
      <c r="AM225" s="66"/>
    </row>
    <row r="226" spans="1:39" s="67" customFormat="1" ht="24" hidden="1" customHeight="1" x14ac:dyDescent="0.15">
      <c r="A226" s="160">
        <v>211</v>
      </c>
      <c r="B226" s="222"/>
      <c r="C226" s="419"/>
      <c r="D226" s="419"/>
      <c r="E226" s="464"/>
      <c r="F226" s="464"/>
      <c r="G226" s="344"/>
      <c r="H226" s="346"/>
      <c r="I226" s="346"/>
      <c r="J226" s="344"/>
      <c r="K226" s="417"/>
      <c r="L226" s="420"/>
      <c r="M226" s="420"/>
      <c r="N226" s="528"/>
      <c r="O226" s="528"/>
      <c r="P226" s="204"/>
      <c r="Q226" s="204"/>
      <c r="R226" s="204"/>
      <c r="S226" s="1192"/>
      <c r="T226" s="1138" t="s">
        <v>36</v>
      </c>
      <c r="U226" s="1138">
        <f>COUNTIF(D216:D235,"묘")</f>
        <v>0</v>
      </c>
      <c r="V226" s="1139">
        <f>COUNTIF(I216:I235,"묘")</f>
        <v>0</v>
      </c>
      <c r="W226" s="1138" t="s">
        <v>26</v>
      </c>
      <c r="X226" s="1138">
        <f>SUMIF(D216:D235,"묘",F216:F235)</f>
        <v>0</v>
      </c>
      <c r="Y226" s="1139">
        <f>SUMIF(I216:I235,"묘",K216:K235)</f>
        <v>0</v>
      </c>
      <c r="Z226" s="1164">
        <f>COUNTIF(AJ216:AJ235,"묘국")+COUNTIF(AJ216:AJ235,"묘공")</f>
        <v>0</v>
      </c>
      <c r="AA226" s="1165">
        <f>COUNTIF(AK216:AK235,"묘국")+COUNTIF(AK216:AK235,"묘공")</f>
        <v>0</v>
      </c>
      <c r="AB226" s="1164" t="s">
        <v>26</v>
      </c>
      <c r="AC226" s="1164">
        <f>SUMIF(AJ216:AJ235,"묘국",F216:F235)+SUMIF(AJ216:AJ235,"묘공",F216:F235)</f>
        <v>0</v>
      </c>
      <c r="AD226" s="1165">
        <f>SUMIF(AK216:AK235,"묘국",K216:K235)+SUMIF(AK216:AK235,"묘공",K216:K235)</f>
        <v>0</v>
      </c>
      <c r="AE226" s="1138">
        <f t="shared" si="44"/>
        <v>0</v>
      </c>
      <c r="AF226" s="1139">
        <f t="shared" si="44"/>
        <v>0</v>
      </c>
      <c r="AG226" s="1138" t="s">
        <v>26</v>
      </c>
      <c r="AH226" s="1138">
        <f t="shared" si="45"/>
        <v>0</v>
      </c>
      <c r="AI226" s="1139">
        <f t="shared" si="45"/>
        <v>0</v>
      </c>
      <c r="AJ226" s="1138" t="str">
        <f t="shared" si="46"/>
        <v/>
      </c>
      <c r="AK226" s="1138" t="str">
        <f t="shared" si="47"/>
        <v/>
      </c>
      <c r="AL226" s="66"/>
      <c r="AM226" s="66"/>
    </row>
    <row r="227" spans="1:39" s="67" customFormat="1" ht="24" hidden="1" customHeight="1" x14ac:dyDescent="0.15">
      <c r="A227" s="160">
        <v>212</v>
      </c>
      <c r="B227" s="222"/>
      <c r="C227" s="419"/>
      <c r="D227" s="419"/>
      <c r="E227" s="464"/>
      <c r="F227" s="464"/>
      <c r="G227" s="344"/>
      <c r="H227" s="346"/>
      <c r="I227" s="346"/>
      <c r="J227" s="344"/>
      <c r="K227" s="417"/>
      <c r="L227" s="420"/>
      <c r="M227" s="420"/>
      <c r="N227" s="528"/>
      <c r="O227" s="528"/>
      <c r="P227" s="204"/>
      <c r="Q227" s="204"/>
      <c r="R227" s="204"/>
      <c r="S227" s="1192"/>
      <c r="T227" s="1138" t="s">
        <v>39</v>
      </c>
      <c r="U227" s="1138">
        <f>COUNTIF(D216:D235,"수")</f>
        <v>0</v>
      </c>
      <c r="V227" s="1139">
        <f>COUNTIF(I216:I235,"수")</f>
        <v>0</v>
      </c>
      <c r="W227" s="1138" t="s">
        <v>26</v>
      </c>
      <c r="X227" s="1138">
        <f>SUMIF(D216:D235,"수",F216:F235)</f>
        <v>0</v>
      </c>
      <c r="Y227" s="1139">
        <f>SUMIF(I216:I235,"수",K216:K235)</f>
        <v>0</v>
      </c>
      <c r="Z227" s="1164">
        <f>COUNTIF(AJ216:AJ235,"수국")+COUNTIF(AJ216:AJ235,"수공")</f>
        <v>0</v>
      </c>
      <c r="AA227" s="1165">
        <f>COUNTIF(AK216:AK235,"수국")+COUNTIF(AK216:AK235,"수공")</f>
        <v>0</v>
      </c>
      <c r="AB227" s="1164" t="s">
        <v>26</v>
      </c>
      <c r="AC227" s="1164">
        <f>SUMIF(AJ216:AJ235,"수국",F216:F235)+SUMIF(AJ216:AJ235,"수공",F216:F235)</f>
        <v>0</v>
      </c>
      <c r="AD227" s="1165">
        <f>SUMIF(AK216:AK235,"수국",K216:K235)+SUMIF(AK216:AK235,"수공",K216:K235)</f>
        <v>0</v>
      </c>
      <c r="AE227" s="1138">
        <f t="shared" si="44"/>
        <v>0</v>
      </c>
      <c r="AF227" s="1139">
        <f t="shared" si="44"/>
        <v>0</v>
      </c>
      <c r="AG227" s="1138" t="s">
        <v>26</v>
      </c>
      <c r="AH227" s="1138">
        <f t="shared" si="45"/>
        <v>0</v>
      </c>
      <c r="AI227" s="1139">
        <f t="shared" si="45"/>
        <v>0</v>
      </c>
      <c r="AJ227" s="1138" t="str">
        <f t="shared" si="46"/>
        <v/>
      </c>
      <c r="AK227" s="1138" t="str">
        <f t="shared" si="47"/>
        <v/>
      </c>
      <c r="AL227" s="66"/>
      <c r="AM227" s="66"/>
    </row>
    <row r="228" spans="1:39" s="67" customFormat="1" ht="24" hidden="1" customHeight="1" x14ac:dyDescent="0.15">
      <c r="A228" s="160">
        <v>213</v>
      </c>
      <c r="B228" s="222"/>
      <c r="C228" s="419"/>
      <c r="D228" s="419"/>
      <c r="E228" s="464"/>
      <c r="F228" s="464"/>
      <c r="G228" s="344"/>
      <c r="H228" s="346"/>
      <c r="I228" s="346"/>
      <c r="J228" s="344"/>
      <c r="K228" s="417"/>
      <c r="L228" s="1199"/>
      <c r="M228" s="420"/>
      <c r="N228" s="1200"/>
      <c r="O228" s="528"/>
      <c r="P228" s="204"/>
      <c r="Q228" s="204"/>
      <c r="R228" s="204"/>
      <c r="S228" s="1192"/>
      <c r="T228" s="1138" t="s">
        <v>35</v>
      </c>
      <c r="U228" s="1138">
        <f>COUNTIF(D216:D235,"잡")</f>
        <v>0</v>
      </c>
      <c r="V228" s="1139">
        <f>COUNTIF(I216:I235,"잡")</f>
        <v>0</v>
      </c>
      <c r="W228" s="1138" t="s">
        <v>26</v>
      </c>
      <c r="X228" s="1138">
        <f>SUMIF(D216:D235,"잡",F216:F235)</f>
        <v>0</v>
      </c>
      <c r="Y228" s="1139">
        <f>SUMIF(I216:I235,"잡",K216:K235)</f>
        <v>0</v>
      </c>
      <c r="Z228" s="1164">
        <f>COUNTIF(AJ216:AJ235,"잡국")+COUNTIF(AJ216:AJ235,"잡공")</f>
        <v>0</v>
      </c>
      <c r="AA228" s="1165">
        <f>COUNTIF(AK216:AK235,"잡국")+COUNTIF(AK216:AK235,"잡공")</f>
        <v>0</v>
      </c>
      <c r="AB228" s="1164" t="s">
        <v>26</v>
      </c>
      <c r="AC228" s="1164">
        <f>SUMIF(AJ216:AJ235,"잡국",F216:F235)+SUMIF(AJ216:AJ235,"잡공",F216:F235)</f>
        <v>0</v>
      </c>
      <c r="AD228" s="1165">
        <f>SUMIF(AK216:AK235,"잡국",K216:K235)+SUMIF(AK216:AK235,"잡공",K216:K235)</f>
        <v>0</v>
      </c>
      <c r="AE228" s="1138">
        <f t="shared" si="44"/>
        <v>0</v>
      </c>
      <c r="AF228" s="1139">
        <f t="shared" si="44"/>
        <v>0</v>
      </c>
      <c r="AG228" s="1138" t="s">
        <v>26</v>
      </c>
      <c r="AH228" s="1138">
        <f t="shared" si="45"/>
        <v>0</v>
      </c>
      <c r="AI228" s="1139">
        <f t="shared" si="45"/>
        <v>0</v>
      </c>
      <c r="AJ228" s="1138" t="str">
        <f t="shared" si="46"/>
        <v/>
      </c>
      <c r="AK228" s="1138" t="str">
        <f t="shared" si="47"/>
        <v/>
      </c>
      <c r="AL228" s="66"/>
      <c r="AM228" s="66"/>
    </row>
    <row r="229" spans="1:39" s="67" customFormat="1" ht="24" hidden="1" customHeight="1" x14ac:dyDescent="0.15">
      <c r="A229" s="160">
        <v>214</v>
      </c>
      <c r="B229" s="222"/>
      <c r="C229" s="419"/>
      <c r="D229" s="419"/>
      <c r="E229" s="464"/>
      <c r="F229" s="464"/>
      <c r="G229" s="1197"/>
      <c r="H229" s="346"/>
      <c r="I229" s="346"/>
      <c r="J229" s="1197"/>
      <c r="K229" s="417"/>
      <c r="L229" s="420"/>
      <c r="M229" s="420"/>
      <c r="N229" s="528"/>
      <c r="O229" s="528"/>
      <c r="P229" s="204"/>
      <c r="Q229" s="204"/>
      <c r="R229" s="204"/>
      <c r="S229" s="1192"/>
      <c r="T229" s="1138" t="s">
        <v>221</v>
      </c>
      <c r="U229" s="1138">
        <f>COUNTIF(D216:D235,"창")</f>
        <v>0</v>
      </c>
      <c r="V229" s="1139">
        <f>COUNTIF(I216:I235,"창")</f>
        <v>0</v>
      </c>
      <c r="W229" s="1138" t="s">
        <v>26</v>
      </c>
      <c r="X229" s="1138">
        <f>SUMIF(D216:D235,"창",F216:F235)</f>
        <v>0</v>
      </c>
      <c r="Y229" s="1139">
        <f>SUMIF(I216:I235,"창",K216:K235)</f>
        <v>0</v>
      </c>
      <c r="Z229" s="1164">
        <f>COUNTIF(AJ216:AJ235,"창국")+COUNTIF(AJ216:AJ235,"창공")</f>
        <v>0</v>
      </c>
      <c r="AA229" s="1165">
        <f>COUNTIF(AK216:AK235,"창국")+COUNTIF(AK216:AK235,"창공")</f>
        <v>0</v>
      </c>
      <c r="AB229" s="1164" t="s">
        <v>26</v>
      </c>
      <c r="AC229" s="1164">
        <f>SUMIF(AJ216:AJ235,"창국",F216:F235)+SUMIF(AJ216:AJ235,"창공",F216:F235)</f>
        <v>0</v>
      </c>
      <c r="AD229" s="1165">
        <f>SUMIF(AK216:AK235,"창국",K216:K235)+SUMIF(AK216:AK235,"창공",K216:K235)</f>
        <v>0</v>
      </c>
      <c r="AE229" s="1138">
        <f t="shared" si="44"/>
        <v>0</v>
      </c>
      <c r="AF229" s="1139">
        <f t="shared" si="44"/>
        <v>0</v>
      </c>
      <c r="AG229" s="1138" t="s">
        <v>26</v>
      </c>
      <c r="AH229" s="1138">
        <f t="shared" si="45"/>
        <v>0</v>
      </c>
      <c r="AI229" s="1139">
        <f t="shared" si="45"/>
        <v>0</v>
      </c>
      <c r="AJ229" s="1138" t="str">
        <f t="shared" si="46"/>
        <v/>
      </c>
      <c r="AK229" s="1138" t="str">
        <f t="shared" si="47"/>
        <v/>
      </c>
      <c r="AL229" s="66"/>
      <c r="AM229" s="66"/>
    </row>
    <row r="230" spans="1:39" s="67" customFormat="1" ht="24" hidden="1" customHeight="1" x14ac:dyDescent="0.15">
      <c r="A230" s="160">
        <v>215</v>
      </c>
      <c r="B230" s="222"/>
      <c r="C230" s="419"/>
      <c r="D230" s="419"/>
      <c r="E230" s="464"/>
      <c r="F230" s="464"/>
      <c r="G230" s="344"/>
      <c r="H230" s="346"/>
      <c r="I230" s="346"/>
      <c r="J230" s="344"/>
      <c r="K230" s="417"/>
      <c r="L230" s="1199"/>
      <c r="M230" s="420"/>
      <c r="N230" s="1200"/>
      <c r="O230" s="528"/>
      <c r="P230" s="204"/>
      <c r="Q230" s="204"/>
      <c r="R230" s="204"/>
      <c r="S230" s="1192"/>
      <c r="T230" s="1138" t="s">
        <v>50</v>
      </c>
      <c r="U230" s="1138">
        <f>COUNTIF(D216:D235,"공")</f>
        <v>0</v>
      </c>
      <c r="V230" s="1139">
        <f>COUNTIF(I216:I235,"공")</f>
        <v>0</v>
      </c>
      <c r="W230" s="1138" t="s">
        <v>26</v>
      </c>
      <c r="X230" s="1138">
        <f>SUMIF(D216:D235,"공",F216:F235)</f>
        <v>0</v>
      </c>
      <c r="Y230" s="1139">
        <f>SUMIF(I216:I235,"공",K216:K235)</f>
        <v>0</v>
      </c>
      <c r="Z230" s="1164">
        <f>COUNTIF(AJ216:AJ235,"공국")+COUNTIF(AJ216:AJ235,"공공")</f>
        <v>0</v>
      </c>
      <c r="AA230" s="1165">
        <f>COUNTIF(AK216:AK235,"공국")+COUNTIF(AK216:AK235,"공공")</f>
        <v>0</v>
      </c>
      <c r="AB230" s="1164" t="s">
        <v>26</v>
      </c>
      <c r="AC230" s="1164">
        <f>SUMIF(AJ216:AJ235,"공국",F216:F235)+SUMIF(AJ216:AJ235,"공공",F216:F235)</f>
        <v>0</v>
      </c>
      <c r="AD230" s="1165">
        <f>SUMIF(AK216:AK235,"공국",K216:K235)+SUMIF(AK216:AK235,"공공",K216:K235)</f>
        <v>0</v>
      </c>
      <c r="AE230" s="1138">
        <f t="shared" si="44"/>
        <v>0</v>
      </c>
      <c r="AF230" s="1139">
        <f t="shared" si="44"/>
        <v>0</v>
      </c>
      <c r="AG230" s="1138" t="s">
        <v>26</v>
      </c>
      <c r="AH230" s="1138">
        <f t="shared" si="45"/>
        <v>0</v>
      </c>
      <c r="AI230" s="1139">
        <f t="shared" si="45"/>
        <v>0</v>
      </c>
      <c r="AJ230" s="1138" t="str">
        <f t="shared" si="46"/>
        <v/>
      </c>
      <c r="AK230" s="1138" t="str">
        <f t="shared" si="47"/>
        <v/>
      </c>
      <c r="AL230" s="66"/>
      <c r="AM230" s="66"/>
    </row>
    <row r="231" spans="1:39" s="67" customFormat="1" ht="24" hidden="1" customHeight="1" x14ac:dyDescent="0.15">
      <c r="A231" s="160">
        <v>216</v>
      </c>
      <c r="B231" s="222"/>
      <c r="C231" s="419"/>
      <c r="D231" s="419"/>
      <c r="E231" s="464"/>
      <c r="F231" s="464"/>
      <c r="G231" s="344"/>
      <c r="H231" s="346"/>
      <c r="I231" s="346"/>
      <c r="J231" s="344"/>
      <c r="K231" s="417"/>
      <c r="L231" s="420"/>
      <c r="M231" s="420"/>
      <c r="N231" s="528"/>
      <c r="O231" s="528"/>
      <c r="P231" s="204"/>
      <c r="Q231" s="204"/>
      <c r="R231" s="204"/>
      <c r="S231" s="1192"/>
      <c r="T231" s="1142" t="s">
        <v>40</v>
      </c>
      <c r="U231" s="1138">
        <f>COUNTIF(D216:D235,"장")</f>
        <v>0</v>
      </c>
      <c r="V231" s="1139">
        <f>COUNTIF(I216:I235,"장")</f>
        <v>0</v>
      </c>
      <c r="W231" s="1138" t="s">
        <v>26</v>
      </c>
      <c r="X231" s="1138">
        <f>SUMIF(D216:D235,"장",F216:F235)</f>
        <v>0</v>
      </c>
      <c r="Y231" s="1139">
        <f>SUMIF(I216:I235,"장",K216:K235)</f>
        <v>0</v>
      </c>
      <c r="Z231" s="1164">
        <f>COUNTIF(AJ216:AJ235,"장국")+COUNTIF(AJ216:AJ235,"장공")</f>
        <v>0</v>
      </c>
      <c r="AA231" s="1165">
        <f>COUNTIF(AK216:AK235,"장국")+COUNTIF(AK216:AK235,"장공")</f>
        <v>0</v>
      </c>
      <c r="AB231" s="1164" t="s">
        <v>26</v>
      </c>
      <c r="AC231" s="1164">
        <f>SUMIF(AJ216:AJ235,"장국",F216:F235)+SUMIF(AJ216:AJ235,"장공",F216:F235)</f>
        <v>0</v>
      </c>
      <c r="AD231" s="1165">
        <f>SUMIF(AK216:AK235,"장국",K216:K235)+SUMIF(AK216:AK235,"장공",K216:K235)</f>
        <v>0</v>
      </c>
      <c r="AE231" s="1138">
        <f t="shared" si="44"/>
        <v>0</v>
      </c>
      <c r="AF231" s="1139">
        <f t="shared" si="44"/>
        <v>0</v>
      </c>
      <c r="AG231" s="1138" t="s">
        <v>26</v>
      </c>
      <c r="AH231" s="1138">
        <f t="shared" si="45"/>
        <v>0</v>
      </c>
      <c r="AI231" s="1139">
        <f t="shared" si="45"/>
        <v>0</v>
      </c>
      <c r="AJ231" s="1138" t="str">
        <f t="shared" si="46"/>
        <v/>
      </c>
      <c r="AK231" s="1138" t="str">
        <f t="shared" si="47"/>
        <v/>
      </c>
      <c r="AL231" s="66"/>
      <c r="AM231" s="66"/>
    </row>
    <row r="232" spans="1:39" s="67" customFormat="1" ht="24" hidden="1" customHeight="1" x14ac:dyDescent="0.15">
      <c r="A232" s="160">
        <v>217</v>
      </c>
      <c r="B232" s="222"/>
      <c r="C232" s="419"/>
      <c r="D232" s="419"/>
      <c r="E232" s="464"/>
      <c r="F232" s="464"/>
      <c r="G232" s="344"/>
      <c r="H232" s="346"/>
      <c r="I232" s="346"/>
      <c r="J232" s="344"/>
      <c r="K232" s="417"/>
      <c r="L232" s="420"/>
      <c r="M232" s="420"/>
      <c r="N232" s="528"/>
      <c r="O232" s="528"/>
      <c r="P232" s="204"/>
      <c r="Q232" s="204"/>
      <c r="R232" s="204"/>
      <c r="S232" s="1192"/>
      <c r="T232" s="1142" t="s">
        <v>5</v>
      </c>
      <c r="U232" s="1138">
        <f>COUNTIF(D216:D235,"목")</f>
        <v>0</v>
      </c>
      <c r="V232" s="1139">
        <f>COUNTIF(I216:I235,"목")</f>
        <v>0</v>
      </c>
      <c r="W232" s="1138" t="s">
        <v>26</v>
      </c>
      <c r="X232" s="1138">
        <f>SUMIF(D216:D235,"목",F216:F235)</f>
        <v>0</v>
      </c>
      <c r="Y232" s="1139">
        <f>SUMIF(I216:I235,"목",K216:K235)</f>
        <v>0</v>
      </c>
      <c r="Z232" s="1164">
        <f>COUNTIF(AJ216:AJ235,"목국")+COUNTIF(AJ216:AJ235,"목공")</f>
        <v>0</v>
      </c>
      <c r="AA232" s="1165">
        <f>COUNTIF(AK216:AK235,"목국")+COUNTIF(AK216:AK235,"목공")</f>
        <v>0</v>
      </c>
      <c r="AB232" s="1164" t="s">
        <v>26</v>
      </c>
      <c r="AC232" s="1164">
        <f>SUMIF(AJ216:AJ235,"목국",F216:F235)+SUMIF(AJ216:AJ235,"목공",F216:F235)</f>
        <v>0</v>
      </c>
      <c r="AD232" s="1165">
        <f>SUMIF(AK216:AK235,"목국",K216:K235)+SUMIF(AK216:AK235,"목공",K216:K235)</f>
        <v>0</v>
      </c>
      <c r="AE232" s="1138">
        <f t="shared" si="44"/>
        <v>0</v>
      </c>
      <c r="AF232" s="1139">
        <f t="shared" si="44"/>
        <v>0</v>
      </c>
      <c r="AG232" s="1138" t="s">
        <v>26</v>
      </c>
      <c r="AH232" s="1138">
        <f t="shared" si="45"/>
        <v>0</v>
      </c>
      <c r="AI232" s="1139">
        <f t="shared" si="45"/>
        <v>0</v>
      </c>
      <c r="AJ232" s="1138" t="str">
        <f t="shared" si="46"/>
        <v/>
      </c>
      <c r="AK232" s="1138" t="str">
        <f t="shared" si="47"/>
        <v/>
      </c>
      <c r="AL232" s="66"/>
      <c r="AM232" s="66"/>
    </row>
    <row r="233" spans="1:39" s="67" customFormat="1" ht="24" hidden="1" customHeight="1" x14ac:dyDescent="0.15">
      <c r="A233" s="160">
        <v>218</v>
      </c>
      <c r="B233" s="222"/>
      <c r="C233" s="1201"/>
      <c r="D233" s="1201"/>
      <c r="E233" s="560"/>
      <c r="F233" s="560"/>
      <c r="G233" s="509"/>
      <c r="H233" s="492"/>
      <c r="I233" s="492"/>
      <c r="J233" s="507"/>
      <c r="K233" s="417"/>
      <c r="L233" s="128"/>
      <c r="M233" s="128"/>
      <c r="N233" s="425"/>
      <c r="O233" s="528"/>
      <c r="P233" s="204"/>
      <c r="Q233" s="204"/>
      <c r="R233" s="204"/>
      <c r="S233" s="1192"/>
      <c r="T233" s="1142"/>
      <c r="U233" s="1142"/>
      <c r="V233" s="1143"/>
      <c r="W233" s="1142"/>
      <c r="X233" s="1142"/>
      <c r="Y233" s="1143"/>
      <c r="Z233" s="1164"/>
      <c r="AA233" s="1165"/>
      <c r="AB233" s="1173"/>
      <c r="AC233" s="1164"/>
      <c r="AD233" s="1165"/>
      <c r="AE233" s="1142"/>
      <c r="AF233" s="1143"/>
      <c r="AG233" s="1142"/>
      <c r="AH233" s="1142"/>
      <c r="AI233" s="1143"/>
      <c r="AJ233" s="1138" t="str">
        <f t="shared" si="46"/>
        <v/>
      </c>
      <c r="AK233" s="1138" t="str">
        <f t="shared" si="47"/>
        <v/>
      </c>
      <c r="AL233" s="66"/>
      <c r="AM233" s="66"/>
    </row>
    <row r="234" spans="1:39" s="67" customFormat="1" ht="24" hidden="1" customHeight="1" x14ac:dyDescent="0.15">
      <c r="A234" s="160">
        <v>219</v>
      </c>
      <c r="B234" s="222"/>
      <c r="C234" s="419"/>
      <c r="D234" s="419"/>
      <c r="E234" s="464"/>
      <c r="F234" s="464"/>
      <c r="G234" s="1197"/>
      <c r="H234" s="346"/>
      <c r="I234" s="346"/>
      <c r="J234" s="1197"/>
      <c r="K234" s="417"/>
      <c r="L234" s="420"/>
      <c r="M234" s="420"/>
      <c r="N234" s="528"/>
      <c r="O234" s="528"/>
      <c r="P234" s="204"/>
      <c r="Q234" s="204"/>
      <c r="R234" s="204"/>
      <c r="S234" s="1192"/>
      <c r="T234" s="1142"/>
      <c r="U234" s="1142"/>
      <c r="V234" s="1143"/>
      <c r="W234" s="1142"/>
      <c r="X234" s="1142"/>
      <c r="Y234" s="1143"/>
      <c r="Z234" s="1164"/>
      <c r="AA234" s="1165"/>
      <c r="AB234" s="1173"/>
      <c r="AC234" s="1164"/>
      <c r="AD234" s="1165"/>
      <c r="AE234" s="1142"/>
      <c r="AF234" s="1143"/>
      <c r="AG234" s="1142"/>
      <c r="AH234" s="1142"/>
      <c r="AI234" s="1143"/>
      <c r="AJ234" s="1138" t="str">
        <f t="shared" si="46"/>
        <v/>
      </c>
      <c r="AK234" s="1138" t="str">
        <f t="shared" si="47"/>
        <v/>
      </c>
      <c r="AL234" s="66"/>
      <c r="AM234" s="66"/>
    </row>
    <row r="235" spans="1:39" s="67" customFormat="1" ht="24" hidden="1" customHeight="1" x14ac:dyDescent="0.15">
      <c r="A235" s="160">
        <v>220</v>
      </c>
      <c r="B235" s="222"/>
      <c r="C235" s="419"/>
      <c r="D235" s="419"/>
      <c r="E235" s="464"/>
      <c r="F235" s="464"/>
      <c r="G235" s="344"/>
      <c r="H235" s="346"/>
      <c r="I235" s="346"/>
      <c r="J235" s="344"/>
      <c r="K235" s="417"/>
      <c r="L235" s="420"/>
      <c r="M235" s="420"/>
      <c r="N235" s="528"/>
      <c r="O235" s="528"/>
      <c r="P235" s="204"/>
      <c r="Q235" s="204"/>
      <c r="R235" s="204"/>
      <c r="S235" s="1192"/>
      <c r="T235" s="1144" t="s">
        <v>37</v>
      </c>
      <c r="U235" s="1144">
        <f>COUNTIF(D216:D235,"철")</f>
        <v>0</v>
      </c>
      <c r="V235" s="1145">
        <f>COUNTIF(I216:I235,"철")</f>
        <v>0</v>
      </c>
      <c r="W235" s="1144" t="s">
        <v>26</v>
      </c>
      <c r="X235" s="1144">
        <f>SUMIF(D216:D235,"철",F216:F235)</f>
        <v>0</v>
      </c>
      <c r="Y235" s="1145">
        <f>SUMIF(I216:I235,"철",K216:K235)</f>
        <v>0</v>
      </c>
      <c r="Z235" s="1164">
        <f>COUNTIF(AJ216:AJ235,"철국")+COUNTIF(AJ216:AJ235,"철공")</f>
        <v>0</v>
      </c>
      <c r="AA235" s="1165">
        <f>COUNTIF(AK216:AK235,"철국")+COUNTIF(AK216:AK235,"철공")</f>
        <v>0</v>
      </c>
      <c r="AB235" s="1174" t="s">
        <v>26</v>
      </c>
      <c r="AC235" s="1164">
        <f>SUMIF(AJ216:AJ235,"철국",F216:F235)+SUMIF(AJ216:AJ235,"철공",F216:F235)</f>
        <v>0</v>
      </c>
      <c r="AD235" s="1165">
        <f>SUMIF(AK216:AK235,"철국",K216:K235)+SUMIF(AK216:AK235,"철공",K216:K235)</f>
        <v>0</v>
      </c>
      <c r="AE235" s="1144"/>
      <c r="AF235" s="1145"/>
      <c r="AG235" s="1144"/>
      <c r="AH235" s="1144"/>
      <c r="AI235" s="1145"/>
      <c r="AJ235" s="1138" t="str">
        <f t="shared" si="46"/>
        <v/>
      </c>
      <c r="AK235" s="1138" t="str">
        <f t="shared" si="47"/>
        <v/>
      </c>
      <c r="AL235" s="66"/>
      <c r="AM235" s="66"/>
    </row>
    <row r="236" spans="1:39" s="57" customFormat="1" ht="24" hidden="1" customHeight="1" thickBot="1" x14ac:dyDescent="0.2">
      <c r="A236" s="1146" t="s">
        <v>48</v>
      </c>
      <c r="B236" s="1147"/>
      <c r="C236" s="1147"/>
      <c r="D236" s="1147"/>
      <c r="E236" s="1198"/>
      <c r="F236" s="1148">
        <f>SUM(F216:F235)</f>
        <v>0</v>
      </c>
      <c r="G236" s="1149"/>
      <c r="H236" s="1149"/>
      <c r="I236" s="1150"/>
      <c r="J236" s="1195"/>
      <c r="K236" s="1159">
        <f>SUM(K216:K235)</f>
        <v>0</v>
      </c>
      <c r="L236" s="1153"/>
      <c r="M236" s="1153"/>
      <c r="N236" s="1154"/>
      <c r="O236" s="1154"/>
      <c r="P236" s="1153"/>
      <c r="Q236" s="1153"/>
      <c r="R236" s="1153"/>
      <c r="S236" s="1155"/>
      <c r="T236" s="1156" t="s">
        <v>24</v>
      </c>
      <c r="U236" s="1157">
        <f t="shared" ref="U236:AA236" si="48">SUM(U216:U235)</f>
        <v>0</v>
      </c>
      <c r="V236" s="1157">
        <f t="shared" si="48"/>
        <v>0</v>
      </c>
      <c r="W236" s="1157">
        <f t="shared" si="48"/>
        <v>0</v>
      </c>
      <c r="X236" s="1157">
        <f t="shared" si="48"/>
        <v>0</v>
      </c>
      <c r="Y236" s="1157">
        <f t="shared" si="48"/>
        <v>0</v>
      </c>
      <c r="Z236" s="1164">
        <f t="shared" si="48"/>
        <v>0</v>
      </c>
      <c r="AA236" s="1165">
        <f t="shared" si="48"/>
        <v>0</v>
      </c>
      <c r="AB236" s="1164" t="s">
        <v>26</v>
      </c>
      <c r="AC236" s="1164">
        <f>SUM(AC216:AC235)</f>
        <v>0</v>
      </c>
      <c r="AD236" s="1165">
        <f>SUM(AD216:AD235)</f>
        <v>0</v>
      </c>
      <c r="AE236" s="1157">
        <f>SUM(AE216:AE235)</f>
        <v>0</v>
      </c>
      <c r="AF236" s="1157">
        <f>SUM(AF216:AF235)</f>
        <v>0</v>
      </c>
      <c r="AG236" s="1157" t="s">
        <v>26</v>
      </c>
      <c r="AH236" s="1157">
        <f>SUM(AH216:AH235)</f>
        <v>0</v>
      </c>
      <c r="AI236" s="1157">
        <f>SUM(AI216:AI235)</f>
        <v>0</v>
      </c>
      <c r="AJ236" s="1157"/>
      <c r="AK236" s="1138" t="str">
        <f>CONCATENATE(I236,N236)</f>
        <v/>
      </c>
    </row>
    <row r="237" spans="1:39" s="67" customFormat="1" ht="24" hidden="1" customHeight="1" x14ac:dyDescent="0.15">
      <c r="A237" s="159">
        <v>221</v>
      </c>
      <c r="B237" s="1160"/>
      <c r="C237" s="553"/>
      <c r="D237" s="553"/>
      <c r="E237" s="554"/>
      <c r="F237" s="554"/>
      <c r="G237" s="490"/>
      <c r="H237" s="1182"/>
      <c r="I237" s="1182"/>
      <c r="J237" s="490"/>
      <c r="K237" s="488"/>
      <c r="L237" s="556"/>
      <c r="M237" s="556"/>
      <c r="N237" s="557"/>
      <c r="O237" s="557"/>
      <c r="P237" s="1184"/>
      <c r="Q237" s="1184"/>
      <c r="R237" s="1184"/>
      <c r="S237" s="1196"/>
      <c r="T237" s="1138" t="s">
        <v>27</v>
      </c>
      <c r="U237" s="1138">
        <f>COUNTIF(D237:D256,"전")</f>
        <v>0</v>
      </c>
      <c r="V237" s="1139">
        <f>COUNTIF(I237:I256,"전")</f>
        <v>0</v>
      </c>
      <c r="W237" s="1138" t="s">
        <v>26</v>
      </c>
      <c r="X237" s="1138">
        <f>SUMIF(D237:D256,"전",F237:F256)</f>
        <v>0</v>
      </c>
      <c r="Y237" s="1139">
        <f>SUMIF(I237:I256,"전",K237:K256)</f>
        <v>0</v>
      </c>
      <c r="Z237" s="1164">
        <f>COUNTIF(AJ237:AJ256,"전국")+COUNTIF(AJ237:AJ256,"전공")</f>
        <v>0</v>
      </c>
      <c r="AA237" s="1165">
        <f>COUNTIF(AK237:AK256,"전국")+COUNTIF(AK237:AK256,"전공")</f>
        <v>0</v>
      </c>
      <c r="AB237" s="1164" t="s">
        <v>26</v>
      </c>
      <c r="AC237" s="1164">
        <f>SUMIF(AJ237:AJ256,"전국",F237:F256)+SUMIF(AJ237:AJ256,"전공",F237:F256)</f>
        <v>0</v>
      </c>
      <c r="AD237" s="1165">
        <f>SUMIF(AK237:AK256,"전국",K237:K256)+SUMIF(AK237:AK256,"전공",K237:K256)</f>
        <v>0</v>
      </c>
      <c r="AE237" s="1138">
        <f t="shared" ref="AE237:AF253" si="49">U237-Z237</f>
        <v>0</v>
      </c>
      <c r="AF237" s="1139">
        <f t="shared" si="49"/>
        <v>0</v>
      </c>
      <c r="AG237" s="1138" t="s">
        <v>26</v>
      </c>
      <c r="AH237" s="1138">
        <f t="shared" ref="AH237:AI253" si="50">X237-AC237</f>
        <v>0</v>
      </c>
      <c r="AI237" s="1139">
        <f t="shared" si="50"/>
        <v>0</v>
      </c>
      <c r="AJ237" s="1138" t="str">
        <f t="shared" ref="AJ237:AJ256" si="51">CONCATENATE(D237,L237)</f>
        <v/>
      </c>
      <c r="AK237" s="1138" t="str">
        <f t="shared" ref="AK237:AK256" si="52">CONCATENATE(I237,L237)</f>
        <v/>
      </c>
      <c r="AL237" s="66"/>
      <c r="AM237" s="66"/>
    </row>
    <row r="238" spans="1:39" s="67" customFormat="1" ht="24" hidden="1" customHeight="1" x14ac:dyDescent="0.15">
      <c r="A238" s="160">
        <v>222</v>
      </c>
      <c r="B238" s="222"/>
      <c r="C238" s="419"/>
      <c r="D238" s="419"/>
      <c r="E238" s="464"/>
      <c r="F238" s="464"/>
      <c r="G238" s="344"/>
      <c r="H238" s="346"/>
      <c r="I238" s="346"/>
      <c r="J238" s="344"/>
      <c r="K238" s="417"/>
      <c r="L238" s="420"/>
      <c r="M238" s="420"/>
      <c r="N238" s="528"/>
      <c r="O238" s="528"/>
      <c r="P238" s="204"/>
      <c r="Q238" s="204"/>
      <c r="R238" s="204"/>
      <c r="S238" s="1192"/>
      <c r="T238" s="1138" t="s">
        <v>28</v>
      </c>
      <c r="U238" s="1138">
        <f>COUNTIF(D237:D256,"답")</f>
        <v>0</v>
      </c>
      <c r="V238" s="1139">
        <f>COUNTIF(I237:I256,"답")</f>
        <v>0</v>
      </c>
      <c r="W238" s="1138" t="s">
        <v>26</v>
      </c>
      <c r="X238" s="1138">
        <f>SUMIF(D237:D256,"답",F237:F256)</f>
        <v>0</v>
      </c>
      <c r="Y238" s="1139">
        <f>SUMIF(I237:I256,"답",K237:K256)</f>
        <v>0</v>
      </c>
      <c r="Z238" s="1164">
        <f>COUNTIF(AJ237:AJ256,"답국")+COUNTIF(AJ237:AJ256,"답공")</f>
        <v>0</v>
      </c>
      <c r="AA238" s="1165">
        <f>COUNTIF(AK237:AK256,"답국")+COUNTIF(AK237:AK256,"답공")</f>
        <v>0</v>
      </c>
      <c r="AB238" s="1164" t="s">
        <v>26</v>
      </c>
      <c r="AC238" s="1164">
        <f>SUMIF(AJ237:AJ256,"답국",F237:F256)+SUMIF(AJ237:AJ256,"답공",F237:F256)</f>
        <v>0</v>
      </c>
      <c r="AD238" s="1165">
        <f>SUMIF(AK237:AK256,"답국",K237:K256)+SUMIF(AK237:AK256,"답공",K237:K256)</f>
        <v>0</v>
      </c>
      <c r="AE238" s="1138">
        <f t="shared" si="49"/>
        <v>0</v>
      </c>
      <c r="AF238" s="1139">
        <f t="shared" si="49"/>
        <v>0</v>
      </c>
      <c r="AG238" s="1138" t="s">
        <v>26</v>
      </c>
      <c r="AH238" s="1138">
        <f t="shared" si="50"/>
        <v>0</v>
      </c>
      <c r="AI238" s="1139">
        <f t="shared" si="50"/>
        <v>0</v>
      </c>
      <c r="AJ238" s="1138" t="str">
        <f t="shared" si="51"/>
        <v/>
      </c>
      <c r="AK238" s="1138" t="str">
        <f t="shared" si="52"/>
        <v/>
      </c>
      <c r="AL238" s="66"/>
      <c r="AM238" s="66"/>
    </row>
    <row r="239" spans="1:39" s="67" customFormat="1" ht="24" hidden="1" customHeight="1" x14ac:dyDescent="0.15">
      <c r="A239" s="160">
        <v>223</v>
      </c>
      <c r="B239" s="222"/>
      <c r="C239" s="419"/>
      <c r="D239" s="419"/>
      <c r="E239" s="464"/>
      <c r="F239" s="464"/>
      <c r="G239" s="344"/>
      <c r="H239" s="346"/>
      <c r="I239" s="346"/>
      <c r="J239" s="344"/>
      <c r="K239" s="417"/>
      <c r="L239" s="420"/>
      <c r="M239" s="420"/>
      <c r="N239" s="528"/>
      <c r="O239" s="528"/>
      <c r="P239" s="204"/>
      <c r="Q239" s="204"/>
      <c r="R239" s="204"/>
      <c r="S239" s="1192"/>
      <c r="T239" s="1138" t="s">
        <v>44</v>
      </c>
      <c r="U239" s="1138">
        <f>COUNTIF(D237:D256,"임")</f>
        <v>0</v>
      </c>
      <c r="V239" s="1139">
        <f>COUNTIF(I237:I256,"임")</f>
        <v>0</v>
      </c>
      <c r="W239" s="1138" t="s">
        <v>26</v>
      </c>
      <c r="X239" s="1138">
        <f>SUMIF(D237:D256,"임",F237:F256)</f>
        <v>0</v>
      </c>
      <c r="Y239" s="1139">
        <f>SUMIF(I237:I256,"임",K237:K256)</f>
        <v>0</v>
      </c>
      <c r="Z239" s="1164">
        <f>COUNTIF(AJ237:AJ256,"임국")+COUNTIF(AJ237:AJ256,"임공")</f>
        <v>0</v>
      </c>
      <c r="AA239" s="1165">
        <f>COUNTIF(AK237:AK256,"임국")+COUNTIF(AK237:AK256,"임공")</f>
        <v>0</v>
      </c>
      <c r="AB239" s="1164" t="s">
        <v>26</v>
      </c>
      <c r="AC239" s="1164">
        <f>SUMIF(AJ237:AJ256,"임국",F237:F256)+SUMIF(AJ237:AJ256,"임공",F237:F256)</f>
        <v>0</v>
      </c>
      <c r="AD239" s="1165">
        <f>SUMIF(AK237:AK256,"임국",K237:K256)+SUMIF(AK237:AK256,"임공",K237:K256)</f>
        <v>0</v>
      </c>
      <c r="AE239" s="1138">
        <f t="shared" si="49"/>
        <v>0</v>
      </c>
      <c r="AF239" s="1139">
        <f t="shared" si="49"/>
        <v>0</v>
      </c>
      <c r="AG239" s="1138" t="s">
        <v>26</v>
      </c>
      <c r="AH239" s="1138">
        <f t="shared" si="50"/>
        <v>0</v>
      </c>
      <c r="AI239" s="1139">
        <f t="shared" si="50"/>
        <v>0</v>
      </c>
      <c r="AJ239" s="1138" t="str">
        <f t="shared" si="51"/>
        <v/>
      </c>
      <c r="AK239" s="1138" t="str">
        <f t="shared" si="52"/>
        <v/>
      </c>
      <c r="AL239" s="66"/>
      <c r="AM239" s="66"/>
    </row>
    <row r="240" spans="1:39" s="67" customFormat="1" ht="24" hidden="1" customHeight="1" x14ac:dyDescent="0.15">
      <c r="A240" s="160">
        <v>224</v>
      </c>
      <c r="B240" s="222"/>
      <c r="C240" s="419"/>
      <c r="D240" s="419"/>
      <c r="E240" s="464"/>
      <c r="F240" s="464"/>
      <c r="G240" s="344"/>
      <c r="H240" s="346"/>
      <c r="I240" s="346"/>
      <c r="J240" s="344"/>
      <c r="K240" s="417"/>
      <c r="L240" s="420"/>
      <c r="M240" s="420"/>
      <c r="N240" s="528"/>
      <c r="O240" s="528"/>
      <c r="P240" s="204"/>
      <c r="Q240" s="204"/>
      <c r="R240" s="204"/>
      <c r="S240" s="1192"/>
      <c r="T240" s="1138" t="s">
        <v>45</v>
      </c>
      <c r="U240" s="1138">
        <f>COUNTIF(D237:D256,"대")</f>
        <v>0</v>
      </c>
      <c r="V240" s="1139">
        <f>COUNTIF(I237:I256,"대")</f>
        <v>0</v>
      </c>
      <c r="W240" s="1138" t="s">
        <v>26</v>
      </c>
      <c r="X240" s="1138">
        <f>SUMIF(D237:D256,"대",F237:F256)</f>
        <v>0</v>
      </c>
      <c r="Y240" s="1139">
        <f>SUMIF(I237:I256,"대",K237:K256)</f>
        <v>0</v>
      </c>
      <c r="Z240" s="1164">
        <f>COUNTIF(AJ237:AJ256,"대국")+COUNTIF(AJ237:AJ256,"대공")</f>
        <v>0</v>
      </c>
      <c r="AA240" s="1165">
        <f>COUNTIF(AK237:AK256,"대국")+COUNTIF(AK237:AK256,"대공")</f>
        <v>0</v>
      </c>
      <c r="AB240" s="1164" t="s">
        <v>26</v>
      </c>
      <c r="AC240" s="1164">
        <f>SUMIF(AJ237:AJ256,"대국",F237:F256)+SUMIF(AJ237:AJ256,"대공",F237:F256)</f>
        <v>0</v>
      </c>
      <c r="AD240" s="1165">
        <f>SUMIF(AK237:AK256,"대국",K237:K256)+SUMIF(AK237:AK256,"대공",K237:K256)</f>
        <v>0</v>
      </c>
      <c r="AE240" s="1138">
        <f t="shared" si="49"/>
        <v>0</v>
      </c>
      <c r="AF240" s="1139">
        <f t="shared" si="49"/>
        <v>0</v>
      </c>
      <c r="AG240" s="1138" t="s">
        <v>26</v>
      </c>
      <c r="AH240" s="1138">
        <f t="shared" si="50"/>
        <v>0</v>
      </c>
      <c r="AI240" s="1139">
        <f t="shared" si="50"/>
        <v>0</v>
      </c>
      <c r="AJ240" s="1138" t="str">
        <f t="shared" si="51"/>
        <v/>
      </c>
      <c r="AK240" s="1138" t="str">
        <f t="shared" si="52"/>
        <v/>
      </c>
      <c r="AL240" s="66"/>
      <c r="AM240" s="66"/>
    </row>
    <row r="241" spans="1:39" s="67" customFormat="1" ht="24" hidden="1" customHeight="1" x14ac:dyDescent="0.15">
      <c r="A241" s="160">
        <v>225</v>
      </c>
      <c r="B241" s="222"/>
      <c r="C241" s="421"/>
      <c r="D241" s="419"/>
      <c r="E241" s="465"/>
      <c r="F241" s="465"/>
      <c r="G241" s="344"/>
      <c r="H241" s="346"/>
      <c r="I241" s="346"/>
      <c r="J241" s="344"/>
      <c r="K241" s="417"/>
      <c r="L241" s="420"/>
      <c r="M241" s="420"/>
      <c r="N241" s="528"/>
      <c r="O241" s="528"/>
      <c r="P241" s="204"/>
      <c r="Q241" s="204"/>
      <c r="R241" s="204"/>
      <c r="S241" s="1192"/>
      <c r="T241" s="1138" t="s">
        <v>31</v>
      </c>
      <c r="U241" s="1138">
        <f>COUNTIF(D237:D256,"도")</f>
        <v>0</v>
      </c>
      <c r="V241" s="1139">
        <f>COUNTIF(I237:I256,"도")</f>
        <v>0</v>
      </c>
      <c r="W241" s="1138" t="s">
        <v>26</v>
      </c>
      <c r="X241" s="1138">
        <f>SUMIF(D237:D256,"도",F237:F256)</f>
        <v>0</v>
      </c>
      <c r="Y241" s="1139">
        <f>SUMIF(I237:I256,"도",K237:K256)</f>
        <v>0</v>
      </c>
      <c r="Z241" s="1164">
        <f>COUNTIF(AJ237:AJ256,"도국")+COUNTIF(AJ237:AJ256,"도공")</f>
        <v>0</v>
      </c>
      <c r="AA241" s="1165">
        <f>COUNTIF(AK237:AK256,"도국")+COUNTIF(AK237:AK256,"도공")</f>
        <v>0</v>
      </c>
      <c r="AB241" s="1164" t="s">
        <v>26</v>
      </c>
      <c r="AC241" s="1164">
        <f>SUMIF(AJ237:AJ256,"도국",F237:F256)+SUMIF(AJ237:AJ256,"도공",F237:F256)</f>
        <v>0</v>
      </c>
      <c r="AD241" s="1165">
        <f>SUMIF(AK237:AK256,"도국",K237:K256)+SUMIF(AK237:AK256,"도공",K237:K256)</f>
        <v>0</v>
      </c>
      <c r="AE241" s="1138">
        <f t="shared" si="49"/>
        <v>0</v>
      </c>
      <c r="AF241" s="1139">
        <f t="shared" si="49"/>
        <v>0</v>
      </c>
      <c r="AG241" s="1138" t="s">
        <v>26</v>
      </c>
      <c r="AH241" s="1138">
        <f t="shared" si="50"/>
        <v>0</v>
      </c>
      <c r="AI241" s="1139">
        <f t="shared" si="50"/>
        <v>0</v>
      </c>
      <c r="AJ241" s="1138" t="str">
        <f t="shared" si="51"/>
        <v/>
      </c>
      <c r="AK241" s="1138" t="str">
        <f t="shared" si="52"/>
        <v/>
      </c>
      <c r="AL241" s="66"/>
      <c r="AM241" s="66"/>
    </row>
    <row r="242" spans="1:39" s="67" customFormat="1" ht="24" hidden="1" customHeight="1" x14ac:dyDescent="0.15">
      <c r="A242" s="160">
        <v>226</v>
      </c>
      <c r="B242" s="222"/>
      <c r="C242" s="419"/>
      <c r="D242" s="419"/>
      <c r="E242" s="464"/>
      <c r="F242" s="464"/>
      <c r="G242" s="344"/>
      <c r="H242" s="346"/>
      <c r="I242" s="346"/>
      <c r="J242" s="344"/>
      <c r="K242" s="417"/>
      <c r="L242" s="420"/>
      <c r="M242" s="420"/>
      <c r="N242" s="528"/>
      <c r="O242" s="528"/>
      <c r="P242" s="204"/>
      <c r="Q242" s="204"/>
      <c r="R242" s="204"/>
      <c r="S242" s="1192"/>
      <c r="T242" s="1138" t="s">
        <v>32</v>
      </c>
      <c r="U242" s="1140">
        <f>COUNTIF(D237:D256,"천")</f>
        <v>0</v>
      </c>
      <c r="V242" s="1141">
        <f>COUNTIF(I237:I256,"천")</f>
        <v>0</v>
      </c>
      <c r="W242" s="1138" t="s">
        <v>26</v>
      </c>
      <c r="X242" s="1138">
        <f>SUMIF(D237:D256,"천",F237:F256)</f>
        <v>0</v>
      </c>
      <c r="Y242" s="1139">
        <f>SUMIF(I237:I256,"천",K237:K256)</f>
        <v>0</v>
      </c>
      <c r="Z242" s="1164">
        <f>COUNTIF(AJ237:AJ256,"천국")+COUNTIF(AJ237:AJ256,"천공")</f>
        <v>0</v>
      </c>
      <c r="AA242" s="1165">
        <f>COUNTIF(AK237:AK256,"천국")+COUNTIF(AK237:AK256,"천공")</f>
        <v>0</v>
      </c>
      <c r="AB242" s="1164" t="s">
        <v>26</v>
      </c>
      <c r="AC242" s="1164">
        <f>SUMIF(AJ237:AJ256,"천국",F237:F256)+SUMIF(AJ237:AJ256,"천공",F237:F256)</f>
        <v>0</v>
      </c>
      <c r="AD242" s="1165">
        <f>SUMIF(AK237:AK256,"천국",K237:K256)+SUMIF(AK237:AK256,"천공",K237:K256)</f>
        <v>0</v>
      </c>
      <c r="AE242" s="1138">
        <f t="shared" si="49"/>
        <v>0</v>
      </c>
      <c r="AF242" s="1139">
        <f t="shared" si="49"/>
        <v>0</v>
      </c>
      <c r="AG242" s="1138" t="s">
        <v>26</v>
      </c>
      <c r="AH242" s="1138">
        <f t="shared" si="50"/>
        <v>0</v>
      </c>
      <c r="AI242" s="1139">
        <f t="shared" si="50"/>
        <v>0</v>
      </c>
      <c r="AJ242" s="1138" t="str">
        <f t="shared" si="51"/>
        <v/>
      </c>
      <c r="AK242" s="1138" t="str">
        <f t="shared" si="52"/>
        <v/>
      </c>
      <c r="AL242" s="66"/>
      <c r="AM242" s="66"/>
    </row>
    <row r="243" spans="1:39" s="67" customFormat="1" ht="24" hidden="1" customHeight="1" x14ac:dyDescent="0.15">
      <c r="A243" s="160">
        <v>227</v>
      </c>
      <c r="B243" s="222"/>
      <c r="C243" s="419"/>
      <c r="D243" s="419"/>
      <c r="E243" s="464"/>
      <c r="F243" s="464"/>
      <c r="G243" s="344"/>
      <c r="H243" s="346"/>
      <c r="I243" s="346"/>
      <c r="J243" s="344"/>
      <c r="K243" s="417"/>
      <c r="L243" s="420"/>
      <c r="M243" s="420"/>
      <c r="N243" s="528"/>
      <c r="O243" s="528"/>
      <c r="P243" s="204"/>
      <c r="Q243" s="204"/>
      <c r="R243" s="204"/>
      <c r="S243" s="1192"/>
      <c r="T243" s="1138" t="s">
        <v>33</v>
      </c>
      <c r="U243" s="1138">
        <f>COUNTIF(D237:D256,"구")</f>
        <v>0</v>
      </c>
      <c r="V243" s="1139">
        <f>COUNTIF(I237:I256,"구")</f>
        <v>0</v>
      </c>
      <c r="W243" s="1138" t="s">
        <v>26</v>
      </c>
      <c r="X243" s="1138">
        <f>SUMIF(D237:D256,"구",F237:F256)</f>
        <v>0</v>
      </c>
      <c r="Y243" s="1139">
        <f>SUMIF(I237:I256,"구",K237:K256)</f>
        <v>0</v>
      </c>
      <c r="Z243" s="1164">
        <f>COUNTIF(AJ237:AJ256,"구국")+COUNTIF(AJ237:AJ256,"구공")</f>
        <v>0</v>
      </c>
      <c r="AA243" s="1165">
        <f>COUNTIF(AK237:AK256,"구국")+COUNTIF(AK237:AK256,"구공")</f>
        <v>0</v>
      </c>
      <c r="AB243" s="1164" t="s">
        <v>26</v>
      </c>
      <c r="AC243" s="1164">
        <f>SUMIF(AJ237:AJ256,"구국",F237:F256)+SUMIF(AJ237:AJ256,"구공",F237:F256)</f>
        <v>0</v>
      </c>
      <c r="AD243" s="1165">
        <f>SUMIF(AK237:AK256,"구국",K237:K256)+SUMIF(AK237:AK256,"구공",K237:K256)</f>
        <v>0</v>
      </c>
      <c r="AE243" s="1138">
        <f t="shared" si="49"/>
        <v>0</v>
      </c>
      <c r="AF243" s="1139">
        <f t="shared" si="49"/>
        <v>0</v>
      </c>
      <c r="AG243" s="1138" t="s">
        <v>26</v>
      </c>
      <c r="AH243" s="1138">
        <f t="shared" si="50"/>
        <v>0</v>
      </c>
      <c r="AI243" s="1139">
        <f t="shared" si="50"/>
        <v>0</v>
      </c>
      <c r="AJ243" s="1138" t="str">
        <f t="shared" si="51"/>
        <v/>
      </c>
      <c r="AK243" s="1138" t="str">
        <f t="shared" si="52"/>
        <v/>
      </c>
      <c r="AL243" s="66"/>
      <c r="AM243" s="66"/>
    </row>
    <row r="244" spans="1:39" s="67" customFormat="1" ht="24" hidden="1" customHeight="1" x14ac:dyDescent="0.15">
      <c r="A244" s="160">
        <v>228</v>
      </c>
      <c r="B244" s="222"/>
      <c r="C244" s="419"/>
      <c r="D244" s="419"/>
      <c r="E244" s="464"/>
      <c r="F244" s="464"/>
      <c r="G244" s="344"/>
      <c r="H244" s="346"/>
      <c r="I244" s="346"/>
      <c r="J244" s="344"/>
      <c r="K244" s="417"/>
      <c r="L244" s="420"/>
      <c r="M244" s="420"/>
      <c r="N244" s="528"/>
      <c r="O244" s="528"/>
      <c r="P244" s="204"/>
      <c r="Q244" s="204"/>
      <c r="R244" s="204"/>
      <c r="S244" s="1192"/>
      <c r="T244" s="1138" t="s">
        <v>34</v>
      </c>
      <c r="U244" s="1138">
        <f>COUNTIF(D237:D256,"제")</f>
        <v>0</v>
      </c>
      <c r="V244" s="1139">
        <f>COUNTIF(I237:I256,"제")</f>
        <v>0</v>
      </c>
      <c r="W244" s="1138" t="s">
        <v>26</v>
      </c>
      <c r="X244" s="1138">
        <f>SUMIF(D237:D256,"제",F237:F256)</f>
        <v>0</v>
      </c>
      <c r="Y244" s="1139">
        <f>SUMIF(I237:I256,"제",K237:K256)</f>
        <v>0</v>
      </c>
      <c r="Z244" s="1164">
        <f>COUNTIF(AJ237:AJ256,"제국")+COUNTIF(AJ237:AJ256,"제공")</f>
        <v>0</v>
      </c>
      <c r="AA244" s="1165">
        <f>COUNTIF(AK237:AK256,"제국")+COUNTIF(AK237:AK256,"제공")</f>
        <v>0</v>
      </c>
      <c r="AB244" s="1164" t="s">
        <v>26</v>
      </c>
      <c r="AC244" s="1164">
        <f>SUMIF(AJ237:AJ256,"제국",F237:F256)+SUMIF(AJ237:AJ256,"제공",F237:F256)</f>
        <v>0</v>
      </c>
      <c r="AD244" s="1165">
        <f>SUMIF(AK237:AK256,"제국",K237:K256)+SUMIF(AK237:AK256,"제공",K237:K256)</f>
        <v>0</v>
      </c>
      <c r="AE244" s="1138">
        <f t="shared" si="49"/>
        <v>0</v>
      </c>
      <c r="AF244" s="1139">
        <f t="shared" si="49"/>
        <v>0</v>
      </c>
      <c r="AG244" s="1138" t="s">
        <v>26</v>
      </c>
      <c r="AH244" s="1138">
        <f t="shared" si="50"/>
        <v>0</v>
      </c>
      <c r="AI244" s="1139">
        <f t="shared" si="50"/>
        <v>0</v>
      </c>
      <c r="AJ244" s="1138" t="str">
        <f t="shared" si="51"/>
        <v/>
      </c>
      <c r="AK244" s="1138" t="str">
        <f t="shared" si="52"/>
        <v/>
      </c>
      <c r="AL244" s="66"/>
      <c r="AM244" s="66"/>
    </row>
    <row r="245" spans="1:39" s="67" customFormat="1" ht="24" hidden="1" customHeight="1" x14ac:dyDescent="0.15">
      <c r="A245" s="160">
        <v>229</v>
      </c>
      <c r="B245" s="222"/>
      <c r="C245" s="581"/>
      <c r="D245" s="581"/>
      <c r="E245" s="582"/>
      <c r="F245" s="582"/>
      <c r="G245" s="616"/>
      <c r="H245" s="1176"/>
      <c r="I245" s="1176"/>
      <c r="J245" s="616"/>
      <c r="K245" s="600"/>
      <c r="L245" s="586"/>
      <c r="M245" s="586"/>
      <c r="N245" s="587"/>
      <c r="O245" s="587"/>
      <c r="P245" s="1170"/>
      <c r="Q245" s="1170"/>
      <c r="R245" s="1170"/>
      <c r="S245" s="1192"/>
      <c r="T245" s="1138" t="s">
        <v>46</v>
      </c>
      <c r="U245" s="1138">
        <f>COUNTIF(D237:D256,"유")</f>
        <v>0</v>
      </c>
      <c r="V245" s="1139">
        <f>COUNTIF(I237:I256,"유")</f>
        <v>0</v>
      </c>
      <c r="W245" s="1138" t="s">
        <v>26</v>
      </c>
      <c r="X245" s="1138">
        <f>SUMIF(D237:D256,"유",F237:F256)</f>
        <v>0</v>
      </c>
      <c r="Y245" s="1139">
        <f>SUMIF(I237:I256,"유",K237:K256)</f>
        <v>0</v>
      </c>
      <c r="Z245" s="1164">
        <f>COUNTIF(AJ237:AJ256,"유국")+COUNTIF(AJ237:AJ256,"유공")</f>
        <v>0</v>
      </c>
      <c r="AA245" s="1165">
        <f>COUNTIF(AK237:AK256,"유국")+COUNTIF(AK237:AK256,"유공")</f>
        <v>0</v>
      </c>
      <c r="AB245" s="1164" t="s">
        <v>26</v>
      </c>
      <c r="AC245" s="1164">
        <f>SUMIF(AJ237:AJ256,"유국",F237:F256)+SUMIF(AJ237:AJ256,"유공",F237:F256)</f>
        <v>0</v>
      </c>
      <c r="AD245" s="1165">
        <f>SUMIF(AK237:AK256,"유국",K237:K256)+SUMIF(AK237:AK256,"유공",K237:K256)</f>
        <v>0</v>
      </c>
      <c r="AE245" s="1138">
        <f t="shared" si="49"/>
        <v>0</v>
      </c>
      <c r="AF245" s="1139">
        <f t="shared" si="49"/>
        <v>0</v>
      </c>
      <c r="AG245" s="1138" t="s">
        <v>26</v>
      </c>
      <c r="AH245" s="1138">
        <f t="shared" si="50"/>
        <v>0</v>
      </c>
      <c r="AI245" s="1139">
        <f t="shared" si="50"/>
        <v>0</v>
      </c>
      <c r="AJ245" s="1138" t="str">
        <f t="shared" si="51"/>
        <v/>
      </c>
      <c r="AK245" s="1138" t="str">
        <f t="shared" si="52"/>
        <v/>
      </c>
      <c r="AL245" s="66"/>
      <c r="AM245" s="66"/>
    </row>
    <row r="246" spans="1:39" s="67" customFormat="1" ht="24" hidden="1" customHeight="1" x14ac:dyDescent="0.15">
      <c r="A246" s="160">
        <v>230</v>
      </c>
      <c r="B246" s="222"/>
      <c r="C246" s="419"/>
      <c r="D246" s="419"/>
      <c r="E246" s="517"/>
      <c r="F246" s="517"/>
      <c r="G246" s="344"/>
      <c r="H246" s="346"/>
      <c r="I246" s="346"/>
      <c r="J246" s="344"/>
      <c r="K246" s="417"/>
      <c r="L246" s="571"/>
      <c r="M246" s="420"/>
      <c r="N246" s="567"/>
      <c r="O246" s="528"/>
      <c r="P246" s="204"/>
      <c r="Q246" s="204"/>
      <c r="R246" s="204"/>
      <c r="S246" s="1192"/>
      <c r="T246" s="1138" t="s">
        <v>47</v>
      </c>
      <c r="U246" s="1138">
        <f>COUNTIF(D237:D256,"과")</f>
        <v>0</v>
      </c>
      <c r="V246" s="1139">
        <f>COUNTIF(I237:I256,"과")</f>
        <v>0</v>
      </c>
      <c r="W246" s="1138" t="s">
        <v>26</v>
      </c>
      <c r="X246" s="1138">
        <f>SUMIF(D237:D256,"과",F237:F256)</f>
        <v>0</v>
      </c>
      <c r="Y246" s="1139">
        <f>SUMIF(I237:I256,"과",K237:K256)</f>
        <v>0</v>
      </c>
      <c r="Z246" s="1164">
        <f>COUNTIF(AJ237:AJ256,"과국")+COUNTIF(AJ237:AJ256,"과공")</f>
        <v>0</v>
      </c>
      <c r="AA246" s="1165">
        <f>COUNTIF(AK237:AK256,"과국")+COUNTIF(AK237:AK256,"과공")</f>
        <v>0</v>
      </c>
      <c r="AB246" s="1164" t="s">
        <v>26</v>
      </c>
      <c r="AC246" s="1164">
        <f>SUMIF(AJ237:AJ256,"과국",F237:F256)+SUMIF(AJ237:AJ256,"과공",F237:F256)</f>
        <v>0</v>
      </c>
      <c r="AD246" s="1165">
        <f>SUMIF(AK237:AK256,"과국",K237:K256)+SUMIF(AK237:AK256,"과공",K237:K256)</f>
        <v>0</v>
      </c>
      <c r="AE246" s="1138">
        <f t="shared" si="49"/>
        <v>0</v>
      </c>
      <c r="AF246" s="1139">
        <f t="shared" si="49"/>
        <v>0</v>
      </c>
      <c r="AG246" s="1138" t="s">
        <v>26</v>
      </c>
      <c r="AH246" s="1138">
        <f t="shared" si="50"/>
        <v>0</v>
      </c>
      <c r="AI246" s="1139">
        <f t="shared" si="50"/>
        <v>0</v>
      </c>
      <c r="AJ246" s="1138" t="str">
        <f t="shared" si="51"/>
        <v/>
      </c>
      <c r="AK246" s="1138" t="str">
        <f t="shared" si="52"/>
        <v/>
      </c>
      <c r="AL246" s="66"/>
      <c r="AM246" s="66"/>
    </row>
    <row r="247" spans="1:39" s="67" customFormat="1" ht="24" hidden="1" customHeight="1" x14ac:dyDescent="0.15">
      <c r="A247" s="160">
        <v>231</v>
      </c>
      <c r="B247" s="222"/>
      <c r="C247" s="421"/>
      <c r="D247" s="419"/>
      <c r="E247" s="518"/>
      <c r="F247" s="518"/>
      <c r="G247" s="344"/>
      <c r="H247" s="346"/>
      <c r="I247" s="346"/>
      <c r="J247" s="344"/>
      <c r="K247" s="417"/>
      <c r="L247" s="420"/>
      <c r="M247" s="420"/>
      <c r="N247" s="528"/>
      <c r="O247" s="528"/>
      <c r="P247" s="204"/>
      <c r="Q247" s="204"/>
      <c r="R247" s="204"/>
      <c r="S247" s="1192"/>
      <c r="T247" s="1138" t="s">
        <v>36</v>
      </c>
      <c r="U247" s="1138">
        <f>COUNTIF(D237:D256,"묘")</f>
        <v>0</v>
      </c>
      <c r="V247" s="1139">
        <f>COUNTIF(I237:I256,"묘")</f>
        <v>0</v>
      </c>
      <c r="W247" s="1138" t="s">
        <v>26</v>
      </c>
      <c r="X247" s="1138">
        <f>SUMIF(D237:D256,"묘",F237:F256)</f>
        <v>0</v>
      </c>
      <c r="Y247" s="1139">
        <f>SUMIF(I237:I256,"묘",K237:K256)</f>
        <v>0</v>
      </c>
      <c r="Z247" s="1164">
        <f>COUNTIF(AJ237:AJ256,"묘국")+COUNTIF(AJ237:AJ256,"묘공")</f>
        <v>0</v>
      </c>
      <c r="AA247" s="1165">
        <f>COUNTIF(AK237:AK256,"묘국")+COUNTIF(AK237:AK256,"묘공")</f>
        <v>0</v>
      </c>
      <c r="AB247" s="1164" t="s">
        <v>26</v>
      </c>
      <c r="AC247" s="1164">
        <f>SUMIF(AJ237:AJ256,"묘국",F237:F256)+SUMIF(AJ237:AJ256,"묘공",F237:F256)</f>
        <v>0</v>
      </c>
      <c r="AD247" s="1165">
        <f>SUMIF(AK237:AK256,"묘국",K237:K256)+SUMIF(AK237:AK256,"묘공",K237:K256)</f>
        <v>0</v>
      </c>
      <c r="AE247" s="1138">
        <f t="shared" si="49"/>
        <v>0</v>
      </c>
      <c r="AF247" s="1139">
        <f t="shared" si="49"/>
        <v>0</v>
      </c>
      <c r="AG247" s="1138" t="s">
        <v>26</v>
      </c>
      <c r="AH247" s="1138">
        <f t="shared" si="50"/>
        <v>0</v>
      </c>
      <c r="AI247" s="1139">
        <f t="shared" si="50"/>
        <v>0</v>
      </c>
      <c r="AJ247" s="1138" t="str">
        <f t="shared" si="51"/>
        <v/>
      </c>
      <c r="AK247" s="1138" t="str">
        <f t="shared" si="52"/>
        <v/>
      </c>
      <c r="AL247" s="66"/>
      <c r="AM247" s="66"/>
    </row>
    <row r="248" spans="1:39" s="67" customFormat="1" ht="24" hidden="1" customHeight="1" x14ac:dyDescent="0.15">
      <c r="A248" s="160">
        <v>232</v>
      </c>
      <c r="B248" s="222"/>
      <c r="C248" s="419"/>
      <c r="D248" s="419"/>
      <c r="E248" s="517"/>
      <c r="F248" s="517"/>
      <c r="G248" s="1197"/>
      <c r="H248" s="346"/>
      <c r="I248" s="346"/>
      <c r="J248" s="1197"/>
      <c r="K248" s="417"/>
      <c r="L248" s="571"/>
      <c r="M248" s="420"/>
      <c r="N248" s="567"/>
      <c r="O248" s="528"/>
      <c r="P248" s="204"/>
      <c r="Q248" s="204"/>
      <c r="R248" s="204"/>
      <c r="S248" s="1192"/>
      <c r="T248" s="1138" t="s">
        <v>39</v>
      </c>
      <c r="U248" s="1138">
        <f>COUNTIF(D237:D256,"수")</f>
        <v>0</v>
      </c>
      <c r="V248" s="1139">
        <f>COUNTIF(I237:I256,"수")</f>
        <v>0</v>
      </c>
      <c r="W248" s="1138" t="s">
        <v>26</v>
      </c>
      <c r="X248" s="1138">
        <f>SUMIF(D237:D256,"수",F237:F256)</f>
        <v>0</v>
      </c>
      <c r="Y248" s="1139">
        <f>SUMIF(I237:I256,"수",K237:K256)</f>
        <v>0</v>
      </c>
      <c r="Z248" s="1164">
        <f>COUNTIF(AJ237:AJ256,"수국")+COUNTIF(AJ237:AJ256,"수공")</f>
        <v>0</v>
      </c>
      <c r="AA248" s="1165">
        <f>COUNTIF(AK237:AK256,"수국")+COUNTIF(AK237:AK256,"수공")</f>
        <v>0</v>
      </c>
      <c r="AB248" s="1164" t="s">
        <v>26</v>
      </c>
      <c r="AC248" s="1164">
        <f>SUMIF(AJ237:AJ256,"수국",F237:F256)+SUMIF(AJ237:AJ256,"수공",F237:F256)</f>
        <v>0</v>
      </c>
      <c r="AD248" s="1165">
        <f>SUMIF(AK237:AK256,"수국",K237:K256)+SUMIF(AK237:AK256,"수공",K237:K256)</f>
        <v>0</v>
      </c>
      <c r="AE248" s="1138">
        <f t="shared" si="49"/>
        <v>0</v>
      </c>
      <c r="AF248" s="1139">
        <f t="shared" si="49"/>
        <v>0</v>
      </c>
      <c r="AG248" s="1138" t="s">
        <v>26</v>
      </c>
      <c r="AH248" s="1138">
        <f t="shared" si="50"/>
        <v>0</v>
      </c>
      <c r="AI248" s="1139">
        <f t="shared" si="50"/>
        <v>0</v>
      </c>
      <c r="AJ248" s="1138" t="str">
        <f t="shared" si="51"/>
        <v/>
      </c>
      <c r="AK248" s="1138" t="str">
        <f t="shared" si="52"/>
        <v/>
      </c>
      <c r="AL248" s="66"/>
      <c r="AM248" s="66"/>
    </row>
    <row r="249" spans="1:39" s="67" customFormat="1" ht="24" hidden="1" customHeight="1" x14ac:dyDescent="0.15">
      <c r="A249" s="160">
        <v>233</v>
      </c>
      <c r="B249" s="222"/>
      <c r="C249" s="419"/>
      <c r="D249" s="419"/>
      <c r="E249" s="517"/>
      <c r="F249" s="517"/>
      <c r="G249" s="344"/>
      <c r="H249" s="346"/>
      <c r="I249" s="346"/>
      <c r="J249" s="344"/>
      <c r="K249" s="417"/>
      <c r="L249" s="420"/>
      <c r="M249" s="420"/>
      <c r="N249" s="528"/>
      <c r="O249" s="528"/>
      <c r="P249" s="204"/>
      <c r="Q249" s="204"/>
      <c r="R249" s="204"/>
      <c r="S249" s="1192"/>
      <c r="T249" s="1138" t="s">
        <v>35</v>
      </c>
      <c r="U249" s="1138">
        <f>COUNTIF(D237:D256,"잡")</f>
        <v>0</v>
      </c>
      <c r="V249" s="1139">
        <f>COUNTIF(I237:I256,"잡")</f>
        <v>0</v>
      </c>
      <c r="W249" s="1138" t="s">
        <v>26</v>
      </c>
      <c r="X249" s="1138">
        <f>SUMIF(D237:D256,"잡",F237:F256)</f>
        <v>0</v>
      </c>
      <c r="Y249" s="1139">
        <f>SUMIF(I237:I256,"잡",K237:K256)</f>
        <v>0</v>
      </c>
      <c r="Z249" s="1164">
        <f>COUNTIF(AJ237:AJ256,"잡국")+COUNTIF(AJ237:AJ256,"잡공")</f>
        <v>0</v>
      </c>
      <c r="AA249" s="1165">
        <f>COUNTIF(AK237:AK256,"잡국")+COUNTIF(AK237:AK256,"잡공")</f>
        <v>0</v>
      </c>
      <c r="AB249" s="1164" t="s">
        <v>26</v>
      </c>
      <c r="AC249" s="1164">
        <f>SUMIF(AJ237:AJ256,"잡국",F237:F256)+SUMIF(AJ237:AJ256,"잡공",F237:F256)</f>
        <v>0</v>
      </c>
      <c r="AD249" s="1165">
        <f>SUMIF(AK237:AK256,"잡국",K237:K256)+SUMIF(AK237:AK256,"잡공",K237:K256)</f>
        <v>0</v>
      </c>
      <c r="AE249" s="1138">
        <f t="shared" si="49"/>
        <v>0</v>
      </c>
      <c r="AF249" s="1139">
        <f t="shared" si="49"/>
        <v>0</v>
      </c>
      <c r="AG249" s="1138" t="s">
        <v>26</v>
      </c>
      <c r="AH249" s="1138">
        <f t="shared" si="50"/>
        <v>0</v>
      </c>
      <c r="AI249" s="1139">
        <f t="shared" si="50"/>
        <v>0</v>
      </c>
      <c r="AJ249" s="1138" t="str">
        <f t="shared" si="51"/>
        <v/>
      </c>
      <c r="AK249" s="1138" t="str">
        <f t="shared" si="52"/>
        <v/>
      </c>
      <c r="AL249" s="66"/>
      <c r="AM249" s="66"/>
    </row>
    <row r="250" spans="1:39" s="67" customFormat="1" ht="24" hidden="1" customHeight="1" x14ac:dyDescent="0.15">
      <c r="A250" s="160">
        <v>234</v>
      </c>
      <c r="B250" s="222"/>
      <c r="C250" s="419"/>
      <c r="D250" s="419"/>
      <c r="E250" s="517"/>
      <c r="F250" s="517"/>
      <c r="G250" s="1197"/>
      <c r="H250" s="346"/>
      <c r="I250" s="346"/>
      <c r="J250" s="1197"/>
      <c r="K250" s="417"/>
      <c r="L250" s="420"/>
      <c r="M250" s="420"/>
      <c r="N250" s="528"/>
      <c r="O250" s="528"/>
      <c r="P250" s="204"/>
      <c r="Q250" s="204"/>
      <c r="R250" s="204"/>
      <c r="S250" s="1192"/>
      <c r="T250" s="1138" t="s">
        <v>221</v>
      </c>
      <c r="U250" s="1138">
        <f>COUNTIF(D237:D256,"창")</f>
        <v>0</v>
      </c>
      <c r="V250" s="1139">
        <f>COUNTIF(I237:I256,"창")</f>
        <v>0</v>
      </c>
      <c r="W250" s="1138" t="s">
        <v>26</v>
      </c>
      <c r="X250" s="1138">
        <f>SUMIF(D237:D256,"창",F237:F256)</f>
        <v>0</v>
      </c>
      <c r="Y250" s="1139">
        <f>SUMIF(I237:I256,"창",K237:K256)</f>
        <v>0</v>
      </c>
      <c r="Z250" s="1164">
        <f>COUNTIF(AJ237:AJ256,"창국")+COUNTIF(AJ237:AJ256,"창공")</f>
        <v>0</v>
      </c>
      <c r="AA250" s="1165">
        <f>COUNTIF(AK237:AK256,"창국")+COUNTIF(AK237:AK256,"창공")</f>
        <v>0</v>
      </c>
      <c r="AB250" s="1164" t="s">
        <v>26</v>
      </c>
      <c r="AC250" s="1164">
        <f>SUMIF(AJ237:AJ256,"창국",F237:F256)+SUMIF(AJ237:AJ256,"창공",F237:F256)</f>
        <v>0</v>
      </c>
      <c r="AD250" s="1165">
        <f>SUMIF(AK237:AK256,"창국",K237:K256)+SUMIF(AK237:AK256,"창공",K237:K256)</f>
        <v>0</v>
      </c>
      <c r="AE250" s="1138">
        <f t="shared" si="49"/>
        <v>0</v>
      </c>
      <c r="AF250" s="1139">
        <f t="shared" si="49"/>
        <v>0</v>
      </c>
      <c r="AG250" s="1138" t="s">
        <v>26</v>
      </c>
      <c r="AH250" s="1138">
        <f t="shared" si="50"/>
        <v>0</v>
      </c>
      <c r="AI250" s="1139">
        <f t="shared" si="50"/>
        <v>0</v>
      </c>
      <c r="AJ250" s="1138" t="str">
        <f t="shared" si="51"/>
        <v/>
      </c>
      <c r="AK250" s="1138" t="str">
        <f t="shared" si="52"/>
        <v/>
      </c>
      <c r="AL250" s="66"/>
      <c r="AM250" s="66"/>
    </row>
    <row r="251" spans="1:39" s="67" customFormat="1" ht="24" hidden="1" customHeight="1" x14ac:dyDescent="0.15">
      <c r="A251" s="160">
        <v>235</v>
      </c>
      <c r="B251" s="222"/>
      <c r="C251" s="419"/>
      <c r="D251" s="419"/>
      <c r="E251" s="517"/>
      <c r="F251" s="517"/>
      <c r="G251" s="344"/>
      <c r="H251" s="346"/>
      <c r="I251" s="346"/>
      <c r="J251" s="344"/>
      <c r="K251" s="417"/>
      <c r="L251" s="420"/>
      <c r="M251" s="420"/>
      <c r="N251" s="528"/>
      <c r="O251" s="528"/>
      <c r="P251" s="204"/>
      <c r="Q251" s="204"/>
      <c r="R251" s="204"/>
      <c r="S251" s="1192"/>
      <c r="T251" s="1138" t="s">
        <v>50</v>
      </c>
      <c r="U251" s="1138">
        <f>COUNTIF(D237:D256,"공")</f>
        <v>0</v>
      </c>
      <c r="V251" s="1139">
        <f>COUNTIF(I237:I256,"공")</f>
        <v>0</v>
      </c>
      <c r="W251" s="1138" t="s">
        <v>26</v>
      </c>
      <c r="X251" s="1138">
        <f>SUMIF(D237:D256,"공",F237:F256)</f>
        <v>0</v>
      </c>
      <c r="Y251" s="1139">
        <f>SUMIF(I237:I256,"공",K237:K256)</f>
        <v>0</v>
      </c>
      <c r="Z251" s="1164">
        <f>COUNTIF(AJ237:AJ256,"공국")+COUNTIF(AJ237:AJ256,"공공")</f>
        <v>0</v>
      </c>
      <c r="AA251" s="1165">
        <f>COUNTIF(AK237:AK256,"공국")+COUNTIF(AK237:AK256,"공공")</f>
        <v>0</v>
      </c>
      <c r="AB251" s="1164" t="s">
        <v>26</v>
      </c>
      <c r="AC251" s="1164">
        <f>SUMIF(AJ237:AJ256,"공국",F237:F256)+SUMIF(AJ237:AJ256,"공공",F237:F256)</f>
        <v>0</v>
      </c>
      <c r="AD251" s="1165">
        <f>SUMIF(AK237:AK256,"공국",K237:K256)+SUMIF(AK237:AK256,"공공",K237:K256)</f>
        <v>0</v>
      </c>
      <c r="AE251" s="1138">
        <f t="shared" si="49"/>
        <v>0</v>
      </c>
      <c r="AF251" s="1139">
        <f t="shared" si="49"/>
        <v>0</v>
      </c>
      <c r="AG251" s="1138" t="s">
        <v>26</v>
      </c>
      <c r="AH251" s="1138">
        <f t="shared" si="50"/>
        <v>0</v>
      </c>
      <c r="AI251" s="1139">
        <f t="shared" si="50"/>
        <v>0</v>
      </c>
      <c r="AJ251" s="1138" t="str">
        <f t="shared" si="51"/>
        <v/>
      </c>
      <c r="AK251" s="1138" t="str">
        <f t="shared" si="52"/>
        <v/>
      </c>
      <c r="AL251" s="66"/>
      <c r="AM251" s="66"/>
    </row>
    <row r="252" spans="1:39" s="67" customFormat="1" ht="24" hidden="1" customHeight="1" x14ac:dyDescent="0.15">
      <c r="A252" s="160">
        <v>236</v>
      </c>
      <c r="B252" s="222"/>
      <c r="C252" s="419"/>
      <c r="D252" s="419"/>
      <c r="E252" s="517"/>
      <c r="F252" s="517"/>
      <c r="G252" s="344"/>
      <c r="H252" s="346"/>
      <c r="I252" s="346"/>
      <c r="J252" s="344"/>
      <c r="K252" s="417"/>
      <c r="L252" s="420"/>
      <c r="M252" s="420"/>
      <c r="N252" s="528"/>
      <c r="O252" s="528"/>
      <c r="P252" s="204"/>
      <c r="Q252" s="204"/>
      <c r="R252" s="204"/>
      <c r="S252" s="1192"/>
      <c r="T252" s="1142" t="s">
        <v>40</v>
      </c>
      <c r="U252" s="1138">
        <f>COUNTIF(D237:D256,"장")</f>
        <v>0</v>
      </c>
      <c r="V252" s="1139">
        <f>COUNTIF(I237:I256,"장")</f>
        <v>0</v>
      </c>
      <c r="W252" s="1138" t="s">
        <v>26</v>
      </c>
      <c r="X252" s="1138">
        <f>SUMIF(D237:D256,"장",F237:F256)</f>
        <v>0</v>
      </c>
      <c r="Y252" s="1139">
        <f>SUMIF(I237:I256,"장",K237:K256)</f>
        <v>0</v>
      </c>
      <c r="Z252" s="1164">
        <f>COUNTIF(AJ237:AJ256,"장국")+COUNTIF(AJ237:AJ256,"장공")</f>
        <v>0</v>
      </c>
      <c r="AA252" s="1165">
        <f>COUNTIF(AK237:AK256,"장국")+COUNTIF(AK237:AK256,"장공")</f>
        <v>0</v>
      </c>
      <c r="AB252" s="1164" t="s">
        <v>26</v>
      </c>
      <c r="AC252" s="1164">
        <f>SUMIF(AJ237:AJ256,"장국",F237:F256)+SUMIF(AJ237:AJ256,"장공",F237:F256)</f>
        <v>0</v>
      </c>
      <c r="AD252" s="1165">
        <f>SUMIF(AK237:AK256,"장국",K237:K256)+SUMIF(AK237:AK256,"장공",K237:K256)</f>
        <v>0</v>
      </c>
      <c r="AE252" s="1138">
        <f t="shared" si="49"/>
        <v>0</v>
      </c>
      <c r="AF252" s="1139">
        <f t="shared" si="49"/>
        <v>0</v>
      </c>
      <c r="AG252" s="1138" t="s">
        <v>26</v>
      </c>
      <c r="AH252" s="1138">
        <f t="shared" si="50"/>
        <v>0</v>
      </c>
      <c r="AI252" s="1139">
        <f t="shared" si="50"/>
        <v>0</v>
      </c>
      <c r="AJ252" s="1138" t="str">
        <f t="shared" si="51"/>
        <v/>
      </c>
      <c r="AK252" s="1138" t="str">
        <f t="shared" si="52"/>
        <v/>
      </c>
      <c r="AL252" s="66"/>
      <c r="AM252" s="66"/>
    </row>
    <row r="253" spans="1:39" s="67" customFormat="1" ht="24" hidden="1" customHeight="1" x14ac:dyDescent="0.15">
      <c r="A253" s="160">
        <v>237</v>
      </c>
      <c r="B253" s="222"/>
      <c r="C253" s="419"/>
      <c r="D253" s="419"/>
      <c r="E253" s="517"/>
      <c r="F253" s="517"/>
      <c r="G253" s="344"/>
      <c r="H253" s="346"/>
      <c r="I253" s="346"/>
      <c r="J253" s="344"/>
      <c r="K253" s="417"/>
      <c r="L253" s="420"/>
      <c r="M253" s="420"/>
      <c r="N253" s="1200"/>
      <c r="O253" s="528"/>
      <c r="P253" s="204"/>
      <c r="Q253" s="204"/>
      <c r="R253" s="204"/>
      <c r="S253" s="1192"/>
      <c r="T253" s="1142" t="s">
        <v>5</v>
      </c>
      <c r="U253" s="1138">
        <f>COUNTIF(D237:D256,"목")</f>
        <v>0</v>
      </c>
      <c r="V253" s="1139">
        <f>COUNTIF(I237:I256,"목")</f>
        <v>0</v>
      </c>
      <c r="W253" s="1138" t="s">
        <v>26</v>
      </c>
      <c r="X253" s="1138">
        <f>SUMIF(D237:D256,"목",F237:F256)</f>
        <v>0</v>
      </c>
      <c r="Y253" s="1139">
        <f>SUMIF(I237:I256,"목",K237:K256)</f>
        <v>0</v>
      </c>
      <c r="Z253" s="1164">
        <f>COUNTIF(AJ237:AJ256,"목국")+COUNTIF(AJ237:AJ256,"목공")</f>
        <v>0</v>
      </c>
      <c r="AA253" s="1165">
        <f>COUNTIF(AK237:AK256,"목국")+COUNTIF(AK237:AK256,"목공")</f>
        <v>0</v>
      </c>
      <c r="AB253" s="1164" t="s">
        <v>26</v>
      </c>
      <c r="AC253" s="1164">
        <f>SUMIF(AJ237:AJ256,"목국",F237:F256)+SUMIF(AJ237:AJ256,"목공",F237:F256)</f>
        <v>0</v>
      </c>
      <c r="AD253" s="1165">
        <f>SUMIF(AK237:AK256,"목국",K237:K256)+SUMIF(AK237:AK256,"목공",K237:K256)</f>
        <v>0</v>
      </c>
      <c r="AE253" s="1138">
        <f t="shared" si="49"/>
        <v>0</v>
      </c>
      <c r="AF253" s="1139">
        <f t="shared" si="49"/>
        <v>0</v>
      </c>
      <c r="AG253" s="1138" t="s">
        <v>26</v>
      </c>
      <c r="AH253" s="1138">
        <f t="shared" si="50"/>
        <v>0</v>
      </c>
      <c r="AI253" s="1139">
        <f t="shared" si="50"/>
        <v>0</v>
      </c>
      <c r="AJ253" s="1138" t="str">
        <f t="shared" si="51"/>
        <v/>
      </c>
      <c r="AK253" s="1138" t="str">
        <f t="shared" si="52"/>
        <v/>
      </c>
      <c r="AL253" s="66"/>
      <c r="AM253" s="66"/>
    </row>
    <row r="254" spans="1:39" s="67" customFormat="1" ht="24" hidden="1" customHeight="1" x14ac:dyDescent="0.15">
      <c r="A254" s="160">
        <v>238</v>
      </c>
      <c r="B254" s="222"/>
      <c r="C254" s="421"/>
      <c r="D254" s="419"/>
      <c r="E254" s="518"/>
      <c r="F254" s="518"/>
      <c r="G254" s="344"/>
      <c r="H254" s="346"/>
      <c r="I254" s="346"/>
      <c r="J254" s="344"/>
      <c r="K254" s="417"/>
      <c r="L254" s="420"/>
      <c r="M254" s="420"/>
      <c r="N254" s="528"/>
      <c r="O254" s="528"/>
      <c r="P254" s="204"/>
      <c r="Q254" s="204"/>
      <c r="R254" s="204"/>
      <c r="S254" s="1192"/>
      <c r="T254" s="1142"/>
      <c r="U254" s="1142"/>
      <c r="V254" s="1143"/>
      <c r="W254" s="1142"/>
      <c r="X254" s="1142"/>
      <c r="Y254" s="1143"/>
      <c r="Z254" s="1164"/>
      <c r="AA254" s="1165"/>
      <c r="AB254" s="1173"/>
      <c r="AC254" s="1164"/>
      <c r="AD254" s="1165"/>
      <c r="AE254" s="1142"/>
      <c r="AF254" s="1143"/>
      <c r="AG254" s="1142"/>
      <c r="AH254" s="1142"/>
      <c r="AI254" s="1143"/>
      <c r="AJ254" s="1138" t="str">
        <f t="shared" si="51"/>
        <v/>
      </c>
      <c r="AK254" s="1138" t="str">
        <f t="shared" si="52"/>
        <v/>
      </c>
      <c r="AL254" s="66"/>
      <c r="AM254" s="66"/>
    </row>
    <row r="255" spans="1:39" s="67" customFormat="1" ht="24" hidden="1" customHeight="1" x14ac:dyDescent="0.15">
      <c r="A255" s="160">
        <v>239</v>
      </c>
      <c r="B255" s="222"/>
      <c r="C255" s="419"/>
      <c r="D255" s="419"/>
      <c r="E255" s="517"/>
      <c r="F255" s="517"/>
      <c r="G255" s="1197"/>
      <c r="H255" s="346"/>
      <c r="I255" s="346"/>
      <c r="J255" s="1197"/>
      <c r="K255" s="417"/>
      <c r="L255" s="420"/>
      <c r="M255" s="420"/>
      <c r="N255" s="528"/>
      <c r="O255" s="528"/>
      <c r="P255" s="204"/>
      <c r="Q255" s="204"/>
      <c r="R255" s="204"/>
      <c r="S255" s="1192"/>
      <c r="T255" s="1142"/>
      <c r="U255" s="1142"/>
      <c r="V255" s="1143"/>
      <c r="W255" s="1142"/>
      <c r="X255" s="1142"/>
      <c r="Y255" s="1143"/>
      <c r="Z255" s="1164"/>
      <c r="AA255" s="1165"/>
      <c r="AB255" s="1173"/>
      <c r="AC255" s="1164"/>
      <c r="AD255" s="1165"/>
      <c r="AE255" s="1142"/>
      <c r="AF255" s="1143"/>
      <c r="AG255" s="1142"/>
      <c r="AH255" s="1142"/>
      <c r="AI255" s="1143"/>
      <c r="AJ255" s="1138" t="str">
        <f t="shared" si="51"/>
        <v/>
      </c>
      <c r="AK255" s="1138" t="str">
        <f t="shared" si="52"/>
        <v/>
      </c>
      <c r="AL255" s="66"/>
      <c r="AM255" s="66"/>
    </row>
    <row r="256" spans="1:39" s="67" customFormat="1" ht="24" hidden="1" customHeight="1" x14ac:dyDescent="0.15">
      <c r="A256" s="160">
        <v>240</v>
      </c>
      <c r="B256" s="222"/>
      <c r="C256" s="421"/>
      <c r="D256" s="419"/>
      <c r="E256" s="518"/>
      <c r="F256" s="518"/>
      <c r="G256" s="344"/>
      <c r="H256" s="346"/>
      <c r="I256" s="346"/>
      <c r="J256" s="344"/>
      <c r="K256" s="417"/>
      <c r="L256" s="420"/>
      <c r="M256" s="420"/>
      <c r="N256" s="528"/>
      <c r="O256" s="528"/>
      <c r="P256" s="204"/>
      <c r="Q256" s="204"/>
      <c r="R256" s="204"/>
      <c r="S256" s="1192"/>
      <c r="T256" s="1144" t="s">
        <v>37</v>
      </c>
      <c r="U256" s="1144">
        <f>COUNTIF(D237:D256,"철")</f>
        <v>0</v>
      </c>
      <c r="V256" s="1145">
        <f>COUNTIF(I237:I256,"철")</f>
        <v>0</v>
      </c>
      <c r="W256" s="1144" t="s">
        <v>26</v>
      </c>
      <c r="X256" s="1144">
        <f>SUMIF(D237:D256,"철",F237:F256)</f>
        <v>0</v>
      </c>
      <c r="Y256" s="1145">
        <f>SUMIF(I237:I256,"철",K237:K256)</f>
        <v>0</v>
      </c>
      <c r="Z256" s="1164">
        <f>COUNTIF(AJ237:AJ256,"철국")+COUNTIF(AJ237:AJ256,"철공")</f>
        <v>0</v>
      </c>
      <c r="AA256" s="1165">
        <f>COUNTIF(AK237:AK256,"철국")+COUNTIF(AK237:AK256,"철공")</f>
        <v>0</v>
      </c>
      <c r="AB256" s="1174" t="s">
        <v>26</v>
      </c>
      <c r="AC256" s="1164">
        <f>SUMIF(AJ237:AJ256,"철국",F237:F256)+SUMIF(AJ237:AJ256,"철공",F237:F256)</f>
        <v>0</v>
      </c>
      <c r="AD256" s="1165">
        <f>SUMIF(AK237:AK256,"철국",K237:K256)+SUMIF(AK237:AK256,"철공",K237:K256)</f>
        <v>0</v>
      </c>
      <c r="AE256" s="1144"/>
      <c r="AF256" s="1145"/>
      <c r="AG256" s="1144"/>
      <c r="AH256" s="1144"/>
      <c r="AI256" s="1145"/>
      <c r="AJ256" s="1138" t="str">
        <f t="shared" si="51"/>
        <v/>
      </c>
      <c r="AK256" s="1138" t="str">
        <f t="shared" si="52"/>
        <v/>
      </c>
      <c r="AL256" s="66"/>
      <c r="AM256" s="66"/>
    </row>
    <row r="257" spans="1:38" s="57" customFormat="1" ht="24" hidden="1" customHeight="1" thickBot="1" x14ac:dyDescent="0.2">
      <c r="A257" s="1146" t="s">
        <v>48</v>
      </c>
      <c r="B257" s="1147"/>
      <c r="C257" s="1147"/>
      <c r="D257" s="1147"/>
      <c r="E257" s="1147"/>
      <c r="F257" s="1148">
        <f>SUM(F237:F256)</f>
        <v>0</v>
      </c>
      <c r="G257" s="1149"/>
      <c r="H257" s="1149"/>
      <c r="I257" s="1150"/>
      <c r="J257" s="1195"/>
      <c r="K257" s="1202">
        <f>SUM(K237:K256)</f>
        <v>0</v>
      </c>
      <c r="L257" s="1153"/>
      <c r="M257" s="1153"/>
      <c r="N257" s="1154"/>
      <c r="O257" s="1154"/>
      <c r="P257" s="1153"/>
      <c r="Q257" s="1153"/>
      <c r="R257" s="1153"/>
      <c r="S257" s="1155"/>
      <c r="T257" s="1156" t="s">
        <v>24</v>
      </c>
      <c r="U257" s="1157">
        <f t="shared" ref="U257:AA257" si="53">SUM(U237:U256)</f>
        <v>0</v>
      </c>
      <c r="V257" s="1157">
        <f t="shared" si="53"/>
        <v>0</v>
      </c>
      <c r="W257" s="1157">
        <f t="shared" si="53"/>
        <v>0</v>
      </c>
      <c r="X257" s="1157">
        <f t="shared" si="53"/>
        <v>0</v>
      </c>
      <c r="Y257" s="1157">
        <f t="shared" si="53"/>
        <v>0</v>
      </c>
      <c r="Z257" s="1164">
        <f t="shared" si="53"/>
        <v>0</v>
      </c>
      <c r="AA257" s="1165">
        <f t="shared" si="53"/>
        <v>0</v>
      </c>
      <c r="AB257" s="1164" t="s">
        <v>26</v>
      </c>
      <c r="AC257" s="1164">
        <f>SUM(AC237:AC256)</f>
        <v>0</v>
      </c>
      <c r="AD257" s="1165">
        <f>SUM(AD237:AD256)</f>
        <v>0</v>
      </c>
      <c r="AE257" s="1157">
        <f>SUM(AE237:AE256)</f>
        <v>0</v>
      </c>
      <c r="AF257" s="1157">
        <f>SUM(AF237:AF256)</f>
        <v>0</v>
      </c>
      <c r="AG257" s="1157" t="s">
        <v>26</v>
      </c>
      <c r="AH257" s="1157">
        <f>SUM(AH237:AH256)</f>
        <v>0</v>
      </c>
      <c r="AI257" s="1157">
        <f>SUM(AI237:AI256)</f>
        <v>0</v>
      </c>
      <c r="AJ257" s="1157"/>
      <c r="AK257" s="1134"/>
    </row>
    <row r="258" spans="1:38" s="67" customFormat="1" ht="24.95" hidden="1" customHeight="1" x14ac:dyDescent="0.15">
      <c r="A258" s="159">
        <v>241</v>
      </c>
      <c r="B258" s="1160"/>
      <c r="C258" s="638"/>
      <c r="D258" s="419"/>
      <c r="E258" s="519"/>
      <c r="F258" s="517"/>
      <c r="G258" s="344"/>
      <c r="H258" s="346"/>
      <c r="I258" s="346"/>
      <c r="J258" s="344"/>
      <c r="K258" s="417"/>
      <c r="L258" s="420"/>
      <c r="M258" s="420"/>
      <c r="N258" s="528"/>
      <c r="O258" s="528"/>
      <c r="P258" s="1184"/>
      <c r="Q258" s="1184"/>
      <c r="R258" s="1184"/>
      <c r="S258" s="1196"/>
      <c r="T258" s="1138" t="s">
        <v>27</v>
      </c>
      <c r="U258" s="1138">
        <f>COUNTIF(D258:D277,"전")</f>
        <v>0</v>
      </c>
      <c r="V258" s="1139">
        <f>COUNTIF(I258:I277,"전")</f>
        <v>0</v>
      </c>
      <c r="W258" s="1138" t="s">
        <v>26</v>
      </c>
      <c r="X258" s="1138">
        <f>SUMIF(D258:D277,"전",F258:F277)</f>
        <v>0</v>
      </c>
      <c r="Y258" s="1139">
        <f>SUMIF(I258:I277,"전",K258:K277)</f>
        <v>0</v>
      </c>
      <c r="Z258" s="1164">
        <f>COUNTIF(AJ258:AJ277,"전국")+COUNTIF(AJ258:AJ277,"전공")</f>
        <v>0</v>
      </c>
      <c r="AA258" s="1165">
        <f>COUNTIF(AK258:AK277,"전국")+COUNTIF(AK258:AK277,"전공")</f>
        <v>0</v>
      </c>
      <c r="AB258" s="1164" t="s">
        <v>26</v>
      </c>
      <c r="AC258" s="1164">
        <f>SUMIF(AJ258:AJ277,"전국",F258:F277)+SUMIF(AJ258:AJ277,"전공",F258:F277)</f>
        <v>0</v>
      </c>
      <c r="AD258" s="1165">
        <f>SUMIF(AK258:AK277,"전국",K258:K277)+SUMIF(AK258:AK277,"전공",K258:K277)</f>
        <v>0</v>
      </c>
      <c r="AE258" s="1138">
        <f t="shared" ref="AE258:AF274" si="54">U258-Z258</f>
        <v>0</v>
      </c>
      <c r="AF258" s="1139">
        <f t="shared" si="54"/>
        <v>0</v>
      </c>
      <c r="AG258" s="1138" t="s">
        <v>26</v>
      </c>
      <c r="AH258" s="1138">
        <f t="shared" ref="AH258:AI274" si="55">X258-AC258</f>
        <v>0</v>
      </c>
      <c r="AI258" s="1139">
        <f t="shared" si="55"/>
        <v>0</v>
      </c>
      <c r="AJ258" s="1138" t="str">
        <f t="shared" ref="AJ258:AJ277" si="56">CONCATENATE(D258,L258)</f>
        <v/>
      </c>
      <c r="AK258" s="1138" t="str">
        <f t="shared" ref="AK258:AK277" si="57">CONCATENATE(I258,L258)</f>
        <v/>
      </c>
      <c r="AL258" s="66"/>
    </row>
    <row r="259" spans="1:38" s="67" customFormat="1" ht="24.95" hidden="1" customHeight="1" x14ac:dyDescent="0.15">
      <c r="A259" s="160">
        <v>242</v>
      </c>
      <c r="B259" s="222"/>
      <c r="C259" s="419"/>
      <c r="D259" s="419"/>
      <c r="E259" s="517"/>
      <c r="F259" s="517"/>
      <c r="G259" s="344"/>
      <c r="H259" s="346"/>
      <c r="I259" s="346"/>
      <c r="J259" s="344"/>
      <c r="K259" s="417"/>
      <c r="L259" s="420"/>
      <c r="M259" s="420"/>
      <c r="N259" s="528"/>
      <c r="O259" s="528"/>
      <c r="P259" s="204"/>
      <c r="Q259" s="204"/>
      <c r="R259" s="204"/>
      <c r="S259" s="1192"/>
      <c r="T259" s="1138" t="s">
        <v>28</v>
      </c>
      <c r="U259" s="1138">
        <f>COUNTIF(D258:D277,"답")</f>
        <v>0</v>
      </c>
      <c r="V259" s="1139">
        <f>COUNTIF(I258:I277,"답")</f>
        <v>0</v>
      </c>
      <c r="W259" s="1138" t="s">
        <v>26</v>
      </c>
      <c r="X259" s="1138">
        <f>SUMIF(D258:D277,"답",F258:F277)</f>
        <v>0</v>
      </c>
      <c r="Y259" s="1139">
        <f>SUMIF(I258:I277,"답",K258:K277)</f>
        <v>0</v>
      </c>
      <c r="Z259" s="1164">
        <f>COUNTIF(AJ258:AJ277,"답국")+COUNTIF(AJ258:AJ277,"답공")</f>
        <v>0</v>
      </c>
      <c r="AA259" s="1165">
        <f>COUNTIF(AK258:AK277,"답국")+COUNTIF(AK258:AK277,"답공")</f>
        <v>0</v>
      </c>
      <c r="AB259" s="1164" t="s">
        <v>26</v>
      </c>
      <c r="AC259" s="1164">
        <f>SUMIF(AJ258:AJ277,"답국",F258:F277)+SUMIF(AJ258:AJ277,"답공",F258:F277)</f>
        <v>0</v>
      </c>
      <c r="AD259" s="1165">
        <f>SUMIF(AK258:AK277,"답국",K258:K277)+SUMIF(AK258:AK277,"답공",K258:K277)</f>
        <v>0</v>
      </c>
      <c r="AE259" s="1138">
        <f t="shared" si="54"/>
        <v>0</v>
      </c>
      <c r="AF259" s="1139">
        <f t="shared" si="54"/>
        <v>0</v>
      </c>
      <c r="AG259" s="1138" t="s">
        <v>26</v>
      </c>
      <c r="AH259" s="1138">
        <f t="shared" si="55"/>
        <v>0</v>
      </c>
      <c r="AI259" s="1139">
        <f t="shared" si="55"/>
        <v>0</v>
      </c>
      <c r="AJ259" s="1138" t="str">
        <f t="shared" si="56"/>
        <v/>
      </c>
      <c r="AK259" s="1138" t="str">
        <f t="shared" si="57"/>
        <v/>
      </c>
      <c r="AL259" s="66"/>
    </row>
    <row r="260" spans="1:38" s="67" customFormat="1" ht="24.95" hidden="1" customHeight="1" x14ac:dyDescent="0.15">
      <c r="A260" s="160">
        <v>243</v>
      </c>
      <c r="B260" s="222"/>
      <c r="C260" s="419"/>
      <c r="D260" s="419"/>
      <c r="E260" s="517"/>
      <c r="F260" s="517"/>
      <c r="G260" s="344"/>
      <c r="H260" s="346"/>
      <c r="I260" s="346"/>
      <c r="J260" s="344"/>
      <c r="K260" s="417"/>
      <c r="L260" s="420"/>
      <c r="M260" s="420"/>
      <c r="N260" s="528"/>
      <c r="O260" s="528"/>
      <c r="P260" s="204"/>
      <c r="Q260" s="204"/>
      <c r="R260" s="204"/>
      <c r="S260" s="1192"/>
      <c r="T260" s="1138" t="s">
        <v>44</v>
      </c>
      <c r="U260" s="1138">
        <f>COUNTIF(D258:D277,"임")</f>
        <v>0</v>
      </c>
      <c r="V260" s="1139">
        <f>COUNTIF(I258:I277,"임")</f>
        <v>0</v>
      </c>
      <c r="W260" s="1138" t="s">
        <v>26</v>
      </c>
      <c r="X260" s="1138">
        <f>SUMIF(D258:D277,"임",F258:F277)</f>
        <v>0</v>
      </c>
      <c r="Y260" s="1139">
        <f>SUMIF(I258:I277,"임",K258:K277)</f>
        <v>0</v>
      </c>
      <c r="Z260" s="1164">
        <f>COUNTIF(AJ258:AJ277,"임국")+COUNTIF(AJ258:AJ277,"임공")</f>
        <v>0</v>
      </c>
      <c r="AA260" s="1165">
        <f>COUNTIF(AK258:AK277,"임국")+COUNTIF(AK258:AK277,"임공")</f>
        <v>0</v>
      </c>
      <c r="AB260" s="1164" t="s">
        <v>26</v>
      </c>
      <c r="AC260" s="1164">
        <f>SUMIF(AJ258:AJ277,"임국",F258:F277)+SUMIF(AJ258:AJ277,"임공",F258:F277)</f>
        <v>0</v>
      </c>
      <c r="AD260" s="1165">
        <f>SUMIF(AK258:AK277,"임국",K258:K277)+SUMIF(AK258:AK277,"임공",K258:K277)</f>
        <v>0</v>
      </c>
      <c r="AE260" s="1138">
        <f t="shared" si="54"/>
        <v>0</v>
      </c>
      <c r="AF260" s="1139">
        <f t="shared" si="54"/>
        <v>0</v>
      </c>
      <c r="AG260" s="1138" t="s">
        <v>26</v>
      </c>
      <c r="AH260" s="1138">
        <f t="shared" si="55"/>
        <v>0</v>
      </c>
      <c r="AI260" s="1139">
        <f t="shared" si="55"/>
        <v>0</v>
      </c>
      <c r="AJ260" s="1138" t="str">
        <f t="shared" si="56"/>
        <v/>
      </c>
      <c r="AK260" s="1138" t="str">
        <f t="shared" si="57"/>
        <v/>
      </c>
      <c r="AL260" s="66"/>
    </row>
    <row r="261" spans="1:38" s="67" customFormat="1" ht="24.95" hidden="1" customHeight="1" x14ac:dyDescent="0.15">
      <c r="A261" s="160">
        <v>244</v>
      </c>
      <c r="B261" s="222"/>
      <c r="C261" s="419"/>
      <c r="D261" s="419"/>
      <c r="E261" s="517"/>
      <c r="F261" s="517"/>
      <c r="G261" s="344"/>
      <c r="H261" s="346"/>
      <c r="I261" s="346"/>
      <c r="J261" s="344"/>
      <c r="K261" s="417"/>
      <c r="L261" s="420"/>
      <c r="M261" s="420"/>
      <c r="N261" s="528"/>
      <c r="O261" s="528"/>
      <c r="P261" s="204"/>
      <c r="Q261" s="204"/>
      <c r="R261" s="204"/>
      <c r="S261" s="1192"/>
      <c r="T261" s="1138" t="s">
        <v>45</v>
      </c>
      <c r="U261" s="1138">
        <f>COUNTIF(D258:D277,"대")</f>
        <v>0</v>
      </c>
      <c r="V261" s="1139">
        <f>COUNTIF(I258:I277,"대")</f>
        <v>0</v>
      </c>
      <c r="W261" s="1138" t="s">
        <v>26</v>
      </c>
      <c r="X261" s="1138">
        <f>SUMIF(D258:D277,"대",F258:F277)</f>
        <v>0</v>
      </c>
      <c r="Y261" s="1139">
        <f>SUMIF(I258:I277,"대",K258:K277)</f>
        <v>0</v>
      </c>
      <c r="Z261" s="1164">
        <f>COUNTIF(AJ258:AJ277,"대국")+COUNTIF(AJ258:AJ277,"대공")</f>
        <v>0</v>
      </c>
      <c r="AA261" s="1165">
        <f>COUNTIF(AK258:AK277,"대국")+COUNTIF(AK258:AK277,"대공")</f>
        <v>0</v>
      </c>
      <c r="AB261" s="1164" t="s">
        <v>26</v>
      </c>
      <c r="AC261" s="1164">
        <f>SUMIF(AJ258:AJ277,"대국",F258:F277)+SUMIF(AJ258:AJ277,"대공",F258:F277)</f>
        <v>0</v>
      </c>
      <c r="AD261" s="1165">
        <f>SUMIF(AK258:AK277,"대국",K258:K277)+SUMIF(AK258:AK277,"대공",K258:K277)</f>
        <v>0</v>
      </c>
      <c r="AE261" s="1138">
        <f t="shared" si="54"/>
        <v>0</v>
      </c>
      <c r="AF261" s="1139">
        <f t="shared" si="54"/>
        <v>0</v>
      </c>
      <c r="AG261" s="1138" t="s">
        <v>26</v>
      </c>
      <c r="AH261" s="1138">
        <f t="shared" si="55"/>
        <v>0</v>
      </c>
      <c r="AI261" s="1139">
        <f t="shared" si="55"/>
        <v>0</v>
      </c>
      <c r="AJ261" s="1138" t="str">
        <f t="shared" si="56"/>
        <v/>
      </c>
      <c r="AK261" s="1138" t="str">
        <f t="shared" si="57"/>
        <v/>
      </c>
      <c r="AL261" s="66"/>
    </row>
    <row r="262" spans="1:38" s="67" customFormat="1" ht="24.95" hidden="1" customHeight="1" x14ac:dyDescent="0.15">
      <c r="A262" s="160">
        <v>245</v>
      </c>
      <c r="B262" s="222"/>
      <c r="C262" s="419"/>
      <c r="D262" s="419"/>
      <c r="E262" s="517"/>
      <c r="F262" s="517"/>
      <c r="G262" s="344"/>
      <c r="H262" s="346"/>
      <c r="I262" s="346"/>
      <c r="J262" s="344"/>
      <c r="K262" s="417"/>
      <c r="L262" s="420"/>
      <c r="M262" s="420"/>
      <c r="N262" s="528"/>
      <c r="O262" s="528"/>
      <c r="P262" s="204"/>
      <c r="Q262" s="204"/>
      <c r="R262" s="204"/>
      <c r="S262" s="1192"/>
      <c r="T262" s="1138" t="s">
        <v>31</v>
      </c>
      <c r="U262" s="1138">
        <f>COUNTIF(D258:D277,"도")</f>
        <v>0</v>
      </c>
      <c r="V262" s="1139">
        <f>COUNTIF(I258:I277,"도")</f>
        <v>0</v>
      </c>
      <c r="W262" s="1138" t="s">
        <v>26</v>
      </c>
      <c r="X262" s="1138">
        <f>SUMIF(D258:D277,"도",F258:F277)</f>
        <v>0</v>
      </c>
      <c r="Y262" s="1139">
        <f>SUMIF(I258:I277,"도",K258:K277)</f>
        <v>0</v>
      </c>
      <c r="Z262" s="1164">
        <f>COUNTIF(AJ258:AJ277,"도국")+COUNTIF(AJ258:AJ277,"도공")</f>
        <v>0</v>
      </c>
      <c r="AA262" s="1165">
        <f>COUNTIF(AK258:AK277,"도국")+COUNTIF(AK258:AK277,"도공")</f>
        <v>0</v>
      </c>
      <c r="AB262" s="1164" t="s">
        <v>26</v>
      </c>
      <c r="AC262" s="1164">
        <f>SUMIF(AJ258:AJ277,"도국",F258:F277)+SUMIF(AJ258:AJ277,"도공",F258:F277)</f>
        <v>0</v>
      </c>
      <c r="AD262" s="1165">
        <f>SUMIF(AK258:AK277,"도국",K258:K277)+SUMIF(AK258:AK277,"도공",K258:K277)</f>
        <v>0</v>
      </c>
      <c r="AE262" s="1138">
        <f t="shared" si="54"/>
        <v>0</v>
      </c>
      <c r="AF262" s="1139">
        <f t="shared" si="54"/>
        <v>0</v>
      </c>
      <c r="AG262" s="1138" t="s">
        <v>26</v>
      </c>
      <c r="AH262" s="1138">
        <f t="shared" si="55"/>
        <v>0</v>
      </c>
      <c r="AI262" s="1139">
        <f t="shared" si="55"/>
        <v>0</v>
      </c>
      <c r="AJ262" s="1138" t="str">
        <f t="shared" si="56"/>
        <v/>
      </c>
      <c r="AK262" s="1138" t="str">
        <f t="shared" si="57"/>
        <v/>
      </c>
      <c r="AL262" s="66"/>
    </row>
    <row r="263" spans="1:38" s="67" customFormat="1" ht="24.95" hidden="1" customHeight="1" x14ac:dyDescent="0.15">
      <c r="A263" s="160">
        <v>246</v>
      </c>
      <c r="B263" s="222"/>
      <c r="C263" s="419"/>
      <c r="D263" s="419"/>
      <c r="E263" s="517"/>
      <c r="F263" s="517"/>
      <c r="G263" s="344"/>
      <c r="H263" s="346"/>
      <c r="I263" s="346"/>
      <c r="J263" s="344"/>
      <c r="K263" s="417"/>
      <c r="L263" s="420"/>
      <c r="M263" s="420"/>
      <c r="N263" s="528"/>
      <c r="O263" s="528"/>
      <c r="P263" s="204"/>
      <c r="Q263" s="204"/>
      <c r="R263" s="204"/>
      <c r="S263" s="1192"/>
      <c r="T263" s="1138" t="s">
        <v>32</v>
      </c>
      <c r="U263" s="1140">
        <f>COUNTIF(D258:D277,"천")</f>
        <v>0</v>
      </c>
      <c r="V263" s="1141">
        <f>COUNTIF(I258:I277,"천")</f>
        <v>0</v>
      </c>
      <c r="W263" s="1138" t="s">
        <v>26</v>
      </c>
      <c r="X263" s="1138">
        <f>SUMIF(D258:D277,"천",F258:F277)</f>
        <v>0</v>
      </c>
      <c r="Y263" s="1139">
        <f>SUMIF(I258:I277,"천",K258:K277)</f>
        <v>0</v>
      </c>
      <c r="Z263" s="1164">
        <f>COUNTIF(AJ258:AJ277,"천국")+COUNTIF(AJ258:AJ277,"천공")</f>
        <v>0</v>
      </c>
      <c r="AA263" s="1165">
        <f>COUNTIF(AK258:AK277,"천국")+COUNTIF(AK258:AK277,"천공")</f>
        <v>0</v>
      </c>
      <c r="AB263" s="1164" t="s">
        <v>26</v>
      </c>
      <c r="AC263" s="1164">
        <f>SUMIF(AJ258:AJ277,"천국",F258:F277)+SUMIF(AJ258:AJ277,"천공",F258:F277)</f>
        <v>0</v>
      </c>
      <c r="AD263" s="1165">
        <f>SUMIF(AK258:AK277,"천국",K258:K277)+SUMIF(AK258:AK277,"천공",K258:K277)</f>
        <v>0</v>
      </c>
      <c r="AE263" s="1138">
        <f t="shared" si="54"/>
        <v>0</v>
      </c>
      <c r="AF263" s="1139">
        <f t="shared" si="54"/>
        <v>0</v>
      </c>
      <c r="AG263" s="1138" t="s">
        <v>26</v>
      </c>
      <c r="AH263" s="1138">
        <f t="shared" si="55"/>
        <v>0</v>
      </c>
      <c r="AI263" s="1139">
        <f t="shared" si="55"/>
        <v>0</v>
      </c>
      <c r="AJ263" s="1138" t="str">
        <f t="shared" si="56"/>
        <v/>
      </c>
      <c r="AK263" s="1138" t="str">
        <f t="shared" si="57"/>
        <v/>
      </c>
      <c r="AL263" s="66"/>
    </row>
    <row r="264" spans="1:38" s="67" customFormat="1" ht="24.95" hidden="1" customHeight="1" x14ac:dyDescent="0.15">
      <c r="A264" s="160">
        <v>247</v>
      </c>
      <c r="B264" s="222"/>
      <c r="C264" s="136"/>
      <c r="D264" s="222"/>
      <c r="E264" s="134"/>
      <c r="F264" s="134"/>
      <c r="G264" s="344"/>
      <c r="H264" s="346"/>
      <c r="I264" s="346"/>
      <c r="J264" s="344"/>
      <c r="K264" s="417"/>
      <c r="L264" s="1199"/>
      <c r="M264" s="204"/>
      <c r="N264" s="1203"/>
      <c r="O264" s="433"/>
      <c r="P264" s="204"/>
      <c r="Q264" s="204"/>
      <c r="R264" s="204"/>
      <c r="S264" s="1192"/>
      <c r="T264" s="1138" t="s">
        <v>33</v>
      </c>
      <c r="U264" s="1138">
        <f>COUNTIF(D258:D277,"구")</f>
        <v>0</v>
      </c>
      <c r="V264" s="1139">
        <f>COUNTIF(I258:I277,"구")</f>
        <v>0</v>
      </c>
      <c r="W264" s="1138" t="s">
        <v>26</v>
      </c>
      <c r="X264" s="1138">
        <f>SUMIF(D258:D277,"구",F258:F277)</f>
        <v>0</v>
      </c>
      <c r="Y264" s="1139">
        <f>SUMIF(I258:I277,"구",K258:K277)</f>
        <v>0</v>
      </c>
      <c r="Z264" s="1164">
        <f>COUNTIF(AJ258:AJ277,"구국")+COUNTIF(AJ258:AJ277,"구공")</f>
        <v>0</v>
      </c>
      <c r="AA264" s="1165">
        <f>COUNTIF(AK258:AK277,"구국")+COUNTIF(AK258:AK277,"구공")</f>
        <v>0</v>
      </c>
      <c r="AB264" s="1164" t="s">
        <v>26</v>
      </c>
      <c r="AC264" s="1164">
        <f>SUMIF(AJ258:AJ277,"구국",F258:F277)+SUMIF(AJ258:AJ277,"구공",F258:F277)</f>
        <v>0</v>
      </c>
      <c r="AD264" s="1165">
        <f>SUMIF(AK258:AK277,"구국",K258:K277)+SUMIF(AK258:AK277,"구공",K258:K277)</f>
        <v>0</v>
      </c>
      <c r="AE264" s="1138">
        <f t="shared" si="54"/>
        <v>0</v>
      </c>
      <c r="AF264" s="1139">
        <f t="shared" si="54"/>
        <v>0</v>
      </c>
      <c r="AG264" s="1138" t="s">
        <v>26</v>
      </c>
      <c r="AH264" s="1138">
        <f t="shared" si="55"/>
        <v>0</v>
      </c>
      <c r="AI264" s="1139">
        <f t="shared" si="55"/>
        <v>0</v>
      </c>
      <c r="AJ264" s="1138" t="str">
        <f t="shared" si="56"/>
        <v/>
      </c>
      <c r="AK264" s="1138" t="str">
        <f t="shared" si="57"/>
        <v/>
      </c>
      <c r="AL264" s="66"/>
    </row>
    <row r="265" spans="1:38" s="67" customFormat="1" ht="24.95" hidden="1" customHeight="1" x14ac:dyDescent="0.15">
      <c r="A265" s="160">
        <v>248</v>
      </c>
      <c r="B265" s="222"/>
      <c r="C265" s="574"/>
      <c r="D265" s="574"/>
      <c r="E265" s="575"/>
      <c r="F265" s="575"/>
      <c r="G265" s="1204"/>
      <c r="H265" s="1205"/>
      <c r="I265" s="1205"/>
      <c r="J265" s="1204"/>
      <c r="K265" s="1206"/>
      <c r="L265" s="579"/>
      <c r="M265" s="579"/>
      <c r="N265" s="580"/>
      <c r="O265" s="580"/>
      <c r="P265" s="204"/>
      <c r="Q265" s="204"/>
      <c r="R265" s="204"/>
      <c r="S265" s="1192"/>
      <c r="T265" s="1138" t="s">
        <v>34</v>
      </c>
      <c r="U265" s="1138">
        <f>COUNTIF(D258:D277,"제")</f>
        <v>0</v>
      </c>
      <c r="V265" s="1139">
        <f>COUNTIF(I258:I277,"제")</f>
        <v>0</v>
      </c>
      <c r="W265" s="1138" t="s">
        <v>26</v>
      </c>
      <c r="X265" s="1138">
        <f>SUMIF(D258:D277,"제",F258:F277)</f>
        <v>0</v>
      </c>
      <c r="Y265" s="1139">
        <f>SUMIF(I258:I277,"제",K258:K277)</f>
        <v>0</v>
      </c>
      <c r="Z265" s="1164">
        <f>COUNTIF(AJ258:AJ277,"제국")+COUNTIF(AJ258:AJ277,"제공")</f>
        <v>0</v>
      </c>
      <c r="AA265" s="1165">
        <f>COUNTIF(AK258:AK277,"제국")+COUNTIF(AK258:AK277,"제공")</f>
        <v>0</v>
      </c>
      <c r="AB265" s="1164" t="s">
        <v>26</v>
      </c>
      <c r="AC265" s="1164">
        <f>SUMIF(AJ258:AJ277,"제국",F258:F277)+SUMIF(AJ258:AJ277,"제공",F258:F277)</f>
        <v>0</v>
      </c>
      <c r="AD265" s="1165">
        <f>SUMIF(AK258:AK277,"제국",K258:K277)+SUMIF(AK258:AK277,"제공",K258:K277)</f>
        <v>0</v>
      </c>
      <c r="AE265" s="1138">
        <f t="shared" si="54"/>
        <v>0</v>
      </c>
      <c r="AF265" s="1139">
        <f t="shared" si="54"/>
        <v>0</v>
      </c>
      <c r="AG265" s="1138" t="s">
        <v>26</v>
      </c>
      <c r="AH265" s="1138">
        <f t="shared" si="55"/>
        <v>0</v>
      </c>
      <c r="AI265" s="1139">
        <f t="shared" si="55"/>
        <v>0</v>
      </c>
      <c r="AJ265" s="1138" t="str">
        <f t="shared" si="56"/>
        <v/>
      </c>
      <c r="AK265" s="1138" t="str">
        <f t="shared" si="57"/>
        <v/>
      </c>
      <c r="AL265" s="66"/>
    </row>
    <row r="266" spans="1:38" s="67" customFormat="1" ht="24.95" hidden="1" customHeight="1" x14ac:dyDescent="0.15">
      <c r="A266" s="160">
        <v>249</v>
      </c>
      <c r="B266" s="222"/>
      <c r="C266" s="419"/>
      <c r="D266" s="419"/>
      <c r="E266" s="517"/>
      <c r="F266" s="517"/>
      <c r="G266" s="344"/>
      <c r="H266" s="346"/>
      <c r="I266" s="346"/>
      <c r="J266" s="344"/>
      <c r="K266" s="417"/>
      <c r="L266" s="420"/>
      <c r="M266" s="420"/>
      <c r="N266" s="528"/>
      <c r="O266" s="528"/>
      <c r="P266" s="204"/>
      <c r="Q266" s="204"/>
      <c r="R266" s="204"/>
      <c r="S266" s="1192"/>
      <c r="T266" s="1138" t="s">
        <v>46</v>
      </c>
      <c r="U266" s="1138">
        <f>COUNTIF(D258:D277,"유")</f>
        <v>0</v>
      </c>
      <c r="V266" s="1139">
        <f>COUNTIF(I258:I277,"유")</f>
        <v>0</v>
      </c>
      <c r="W266" s="1138" t="s">
        <v>26</v>
      </c>
      <c r="X266" s="1138">
        <f>SUMIF(D258:D277,"유",F258:F277)</f>
        <v>0</v>
      </c>
      <c r="Y266" s="1139">
        <f>SUMIF(I258:I277,"유",K258:K277)</f>
        <v>0</v>
      </c>
      <c r="Z266" s="1164">
        <f>COUNTIF(AJ258:AJ277,"유국")+COUNTIF(AJ258:AJ277,"유공")</f>
        <v>0</v>
      </c>
      <c r="AA266" s="1165">
        <f>COUNTIF(AK258:AK277,"유국")+COUNTIF(AK258:AK277,"유공")</f>
        <v>0</v>
      </c>
      <c r="AB266" s="1164" t="s">
        <v>26</v>
      </c>
      <c r="AC266" s="1164">
        <f>SUMIF(AJ258:AJ277,"유국",F258:F277)+SUMIF(AJ258:AJ277,"유공",F258:F277)</f>
        <v>0</v>
      </c>
      <c r="AD266" s="1165">
        <f>SUMIF(AK258:AK277,"유국",K258:K277)+SUMIF(AK258:AK277,"유공",K258:K277)</f>
        <v>0</v>
      </c>
      <c r="AE266" s="1138">
        <f t="shared" si="54"/>
        <v>0</v>
      </c>
      <c r="AF266" s="1139">
        <f t="shared" si="54"/>
        <v>0</v>
      </c>
      <c r="AG266" s="1138" t="s">
        <v>26</v>
      </c>
      <c r="AH266" s="1138">
        <f t="shared" si="55"/>
        <v>0</v>
      </c>
      <c r="AI266" s="1139">
        <f t="shared" si="55"/>
        <v>0</v>
      </c>
      <c r="AJ266" s="1138" t="str">
        <f t="shared" si="56"/>
        <v/>
      </c>
      <c r="AK266" s="1138" t="str">
        <f t="shared" si="57"/>
        <v/>
      </c>
      <c r="AL266" s="66"/>
    </row>
    <row r="267" spans="1:38" s="67" customFormat="1" ht="24.95" hidden="1" customHeight="1" x14ac:dyDescent="0.15">
      <c r="A267" s="160">
        <v>250</v>
      </c>
      <c r="B267" s="222"/>
      <c r="C267" s="419"/>
      <c r="D267" s="419"/>
      <c r="E267" s="517"/>
      <c r="F267" s="517"/>
      <c r="G267" s="344"/>
      <c r="H267" s="346"/>
      <c r="I267" s="346"/>
      <c r="J267" s="344"/>
      <c r="K267" s="417"/>
      <c r="L267" s="420"/>
      <c r="M267" s="420"/>
      <c r="N267" s="528"/>
      <c r="O267" s="528"/>
      <c r="P267" s="204"/>
      <c r="Q267" s="204"/>
      <c r="R267" s="204"/>
      <c r="S267" s="1192"/>
      <c r="T267" s="1138" t="s">
        <v>47</v>
      </c>
      <c r="U267" s="1138">
        <f>COUNTIF(D258:D277,"과")</f>
        <v>0</v>
      </c>
      <c r="V267" s="1139">
        <f>COUNTIF(I258:I277,"과")</f>
        <v>0</v>
      </c>
      <c r="W267" s="1138" t="s">
        <v>26</v>
      </c>
      <c r="X267" s="1138">
        <f>SUMIF(D258:D277,"과",F258:F277)</f>
        <v>0</v>
      </c>
      <c r="Y267" s="1139">
        <f>SUMIF(I258:I277,"과",K258:K277)</f>
        <v>0</v>
      </c>
      <c r="Z267" s="1164">
        <f>COUNTIF(AJ258:AJ277,"과국")+COUNTIF(AJ258:AJ277,"과공")</f>
        <v>0</v>
      </c>
      <c r="AA267" s="1165">
        <f>COUNTIF(AK258:AK277,"과국")+COUNTIF(AK258:AK277,"과공")</f>
        <v>0</v>
      </c>
      <c r="AB267" s="1164" t="s">
        <v>26</v>
      </c>
      <c r="AC267" s="1164">
        <f>SUMIF(AJ258:AJ277,"과국",F258:F277)+SUMIF(AJ258:AJ277,"과공",F258:F277)</f>
        <v>0</v>
      </c>
      <c r="AD267" s="1165">
        <f>SUMIF(AK258:AK277,"과국",K258:K277)+SUMIF(AK258:AK277,"과공",K258:K277)</f>
        <v>0</v>
      </c>
      <c r="AE267" s="1138">
        <f t="shared" si="54"/>
        <v>0</v>
      </c>
      <c r="AF267" s="1139">
        <f t="shared" si="54"/>
        <v>0</v>
      </c>
      <c r="AG267" s="1138" t="s">
        <v>26</v>
      </c>
      <c r="AH267" s="1138">
        <f t="shared" si="55"/>
        <v>0</v>
      </c>
      <c r="AI267" s="1139">
        <f t="shared" si="55"/>
        <v>0</v>
      </c>
      <c r="AJ267" s="1138" t="str">
        <f t="shared" si="56"/>
        <v/>
      </c>
      <c r="AK267" s="1138" t="str">
        <f t="shared" si="57"/>
        <v/>
      </c>
      <c r="AL267" s="66"/>
    </row>
    <row r="268" spans="1:38" s="67" customFormat="1" ht="24.95" hidden="1" customHeight="1" x14ac:dyDescent="0.15">
      <c r="A268" s="160">
        <v>251</v>
      </c>
      <c r="B268" s="222"/>
      <c r="C268" s="136"/>
      <c r="D268" s="222"/>
      <c r="E268" s="1207"/>
      <c r="F268" s="1207"/>
      <c r="G268" s="1197"/>
      <c r="H268" s="346"/>
      <c r="I268" s="346"/>
      <c r="J268" s="1197"/>
      <c r="K268" s="417"/>
      <c r="L268" s="1199"/>
      <c r="M268" s="204"/>
      <c r="N268" s="1200"/>
      <c r="O268" s="528"/>
      <c r="P268" s="204"/>
      <c r="Q268" s="204"/>
      <c r="R268" s="204"/>
      <c r="S268" s="1192"/>
      <c r="T268" s="1138" t="s">
        <v>36</v>
      </c>
      <c r="U268" s="1138">
        <f>COUNTIF(D258:D277,"묘")</f>
        <v>0</v>
      </c>
      <c r="V268" s="1139">
        <f>COUNTIF(I258:I277,"묘")</f>
        <v>0</v>
      </c>
      <c r="W268" s="1138" t="s">
        <v>26</v>
      </c>
      <c r="X268" s="1138">
        <f>SUMIF(D258:D277,"묘",F258:F277)</f>
        <v>0</v>
      </c>
      <c r="Y268" s="1139">
        <f>SUMIF(I258:I277,"묘",K258:K277)</f>
        <v>0</v>
      </c>
      <c r="Z268" s="1164">
        <f>COUNTIF(AJ258:AJ277,"묘국")+COUNTIF(AJ258:AJ277,"묘공")</f>
        <v>0</v>
      </c>
      <c r="AA268" s="1165">
        <f>COUNTIF(AK258:AK277,"묘국")+COUNTIF(AK258:AK277,"묘공")</f>
        <v>0</v>
      </c>
      <c r="AB268" s="1164" t="s">
        <v>26</v>
      </c>
      <c r="AC268" s="1164">
        <f>SUMIF(AJ258:AJ277,"묘국",F258:F277)+SUMIF(AJ258:AJ277,"묘공",F258:F277)</f>
        <v>0</v>
      </c>
      <c r="AD268" s="1165">
        <f>SUMIF(AK258:AK277,"묘국",K258:K277)+SUMIF(AK258:AK277,"묘공",K258:K277)</f>
        <v>0</v>
      </c>
      <c r="AE268" s="1138">
        <f t="shared" si="54"/>
        <v>0</v>
      </c>
      <c r="AF268" s="1139">
        <f t="shared" si="54"/>
        <v>0</v>
      </c>
      <c r="AG268" s="1138" t="s">
        <v>26</v>
      </c>
      <c r="AH268" s="1138">
        <f t="shared" si="55"/>
        <v>0</v>
      </c>
      <c r="AI268" s="1139">
        <f t="shared" si="55"/>
        <v>0</v>
      </c>
      <c r="AJ268" s="1138" t="str">
        <f t="shared" si="56"/>
        <v/>
      </c>
      <c r="AK268" s="1138" t="str">
        <f t="shared" si="57"/>
        <v/>
      </c>
      <c r="AL268" s="66"/>
    </row>
    <row r="269" spans="1:38" s="67" customFormat="1" ht="24.95" hidden="1" customHeight="1" x14ac:dyDescent="0.15">
      <c r="A269" s="160">
        <v>252</v>
      </c>
      <c r="B269" s="222"/>
      <c r="C269" s="136"/>
      <c r="D269" s="222"/>
      <c r="E269" s="134"/>
      <c r="F269" s="134"/>
      <c r="G269" s="344"/>
      <c r="H269" s="346"/>
      <c r="I269" s="346"/>
      <c r="J269" s="344"/>
      <c r="K269" s="417"/>
      <c r="L269" s="1199"/>
      <c r="M269" s="204"/>
      <c r="N269" s="1200"/>
      <c r="O269" s="433"/>
      <c r="P269" s="204"/>
      <c r="Q269" s="204"/>
      <c r="R269" s="204"/>
      <c r="S269" s="1192"/>
      <c r="T269" s="1138" t="s">
        <v>39</v>
      </c>
      <c r="U269" s="1138">
        <f>COUNTIF(D258:D277,"수")</f>
        <v>0</v>
      </c>
      <c r="V269" s="1139">
        <f>COUNTIF(I258:I277,"수")</f>
        <v>0</v>
      </c>
      <c r="W269" s="1138" t="s">
        <v>26</v>
      </c>
      <c r="X269" s="1138">
        <f>SUMIF(D258:D277,"수",F258:F277)</f>
        <v>0</v>
      </c>
      <c r="Y269" s="1139">
        <f>SUMIF(I258:I277,"수",K258:K277)</f>
        <v>0</v>
      </c>
      <c r="Z269" s="1164">
        <f>COUNTIF(AJ258:AJ277,"수국")+COUNTIF(AJ258:AJ277,"수공")</f>
        <v>0</v>
      </c>
      <c r="AA269" s="1165">
        <f>COUNTIF(AK258:AK277,"수국")+COUNTIF(AK258:AK277,"수공")</f>
        <v>0</v>
      </c>
      <c r="AB269" s="1164" t="s">
        <v>26</v>
      </c>
      <c r="AC269" s="1164">
        <f>SUMIF(AJ258:AJ277,"수국",F258:F277)+SUMIF(AJ258:AJ277,"수공",F258:F277)</f>
        <v>0</v>
      </c>
      <c r="AD269" s="1165">
        <f>SUMIF(AK258:AK277,"수국",K258:K277)+SUMIF(AK258:AK277,"수공",K258:K277)</f>
        <v>0</v>
      </c>
      <c r="AE269" s="1138">
        <f t="shared" si="54"/>
        <v>0</v>
      </c>
      <c r="AF269" s="1139">
        <f t="shared" si="54"/>
        <v>0</v>
      </c>
      <c r="AG269" s="1138" t="s">
        <v>26</v>
      </c>
      <c r="AH269" s="1138">
        <f t="shared" si="55"/>
        <v>0</v>
      </c>
      <c r="AI269" s="1139">
        <f t="shared" si="55"/>
        <v>0</v>
      </c>
      <c r="AJ269" s="1138" t="str">
        <f t="shared" si="56"/>
        <v/>
      </c>
      <c r="AK269" s="1138" t="str">
        <f t="shared" si="57"/>
        <v/>
      </c>
      <c r="AL269" s="66"/>
    </row>
    <row r="270" spans="1:38" s="67" customFormat="1" ht="24.95" hidden="1" customHeight="1" x14ac:dyDescent="0.15">
      <c r="A270" s="160">
        <v>253</v>
      </c>
      <c r="B270" s="222"/>
      <c r="C270" s="136"/>
      <c r="D270" s="222"/>
      <c r="E270" s="134"/>
      <c r="F270" s="134"/>
      <c r="G270" s="344"/>
      <c r="H270" s="346"/>
      <c r="I270" s="346"/>
      <c r="J270" s="344"/>
      <c r="K270" s="417"/>
      <c r="L270" s="1199"/>
      <c r="M270" s="204"/>
      <c r="N270" s="1203"/>
      <c r="O270" s="433"/>
      <c r="P270" s="204"/>
      <c r="Q270" s="204"/>
      <c r="R270" s="204"/>
      <c r="S270" s="1192"/>
      <c r="T270" s="1138" t="s">
        <v>35</v>
      </c>
      <c r="U270" s="1138">
        <f>COUNTIF(D258:D277,"잡")</f>
        <v>0</v>
      </c>
      <c r="V270" s="1139">
        <f>COUNTIF(I258:I277,"잡")</f>
        <v>0</v>
      </c>
      <c r="W270" s="1138" t="s">
        <v>26</v>
      </c>
      <c r="X270" s="1138">
        <f>SUMIF(D258:D277,"잡",F258:F277)</f>
        <v>0</v>
      </c>
      <c r="Y270" s="1139">
        <f>SUMIF(I258:I277,"잡",K258:K277)</f>
        <v>0</v>
      </c>
      <c r="Z270" s="1164">
        <f>COUNTIF(AJ258:AJ277,"잡국")+COUNTIF(AJ258:AJ277,"잡공")</f>
        <v>0</v>
      </c>
      <c r="AA270" s="1165">
        <f>COUNTIF(AK258:AK277,"잡국")+COUNTIF(AK258:AK277,"잡공")</f>
        <v>0</v>
      </c>
      <c r="AB270" s="1164" t="s">
        <v>26</v>
      </c>
      <c r="AC270" s="1164">
        <f>SUMIF(AJ258:AJ277,"잡국",F258:F277)+SUMIF(AJ258:AJ277,"잡공",F258:F277)</f>
        <v>0</v>
      </c>
      <c r="AD270" s="1165">
        <f>SUMIF(AK258:AK277,"잡국",K258:K277)+SUMIF(AK258:AK277,"잡공",K258:K277)</f>
        <v>0</v>
      </c>
      <c r="AE270" s="1138">
        <f t="shared" si="54"/>
        <v>0</v>
      </c>
      <c r="AF270" s="1139">
        <f t="shared" si="54"/>
        <v>0</v>
      </c>
      <c r="AG270" s="1138" t="s">
        <v>26</v>
      </c>
      <c r="AH270" s="1138">
        <f t="shared" si="55"/>
        <v>0</v>
      </c>
      <c r="AI270" s="1139">
        <f t="shared" si="55"/>
        <v>0</v>
      </c>
      <c r="AJ270" s="1138" t="str">
        <f t="shared" si="56"/>
        <v/>
      </c>
      <c r="AK270" s="1138" t="str">
        <f t="shared" si="57"/>
        <v/>
      </c>
      <c r="AL270" s="66"/>
    </row>
    <row r="271" spans="1:38" s="67" customFormat="1" ht="24.95" hidden="1" customHeight="1" x14ac:dyDescent="0.15">
      <c r="A271" s="160">
        <v>254</v>
      </c>
      <c r="B271" s="222"/>
      <c r="C271" s="136"/>
      <c r="D271" s="222"/>
      <c r="E271" s="134"/>
      <c r="F271" s="134"/>
      <c r="G271" s="344"/>
      <c r="H271" s="346"/>
      <c r="I271" s="346"/>
      <c r="J271" s="344"/>
      <c r="K271" s="417"/>
      <c r="L271" s="1199"/>
      <c r="M271" s="204"/>
      <c r="N271" s="1200"/>
      <c r="O271" s="433"/>
      <c r="P271" s="204"/>
      <c r="Q271" s="204"/>
      <c r="R271" s="204"/>
      <c r="S271" s="1192"/>
      <c r="T271" s="1138" t="s">
        <v>221</v>
      </c>
      <c r="U271" s="1138">
        <f>COUNTIF(D258:D277,"창")</f>
        <v>0</v>
      </c>
      <c r="V271" s="1139">
        <f>COUNTIF(I258:I277,"창")</f>
        <v>0</v>
      </c>
      <c r="W271" s="1138" t="s">
        <v>26</v>
      </c>
      <c r="X271" s="1138">
        <f>SUMIF(D258:D277,"창",F258:F277)</f>
        <v>0</v>
      </c>
      <c r="Y271" s="1139">
        <f>SUMIF(I258:I277,"창",K258:K277)</f>
        <v>0</v>
      </c>
      <c r="Z271" s="1164">
        <f>COUNTIF(AJ258:AJ277,"창국")+COUNTIF(AJ258:AJ277,"창공")</f>
        <v>0</v>
      </c>
      <c r="AA271" s="1165">
        <f>COUNTIF(AK258:AK277,"창국")+COUNTIF(AK258:AK277,"창공")</f>
        <v>0</v>
      </c>
      <c r="AB271" s="1164" t="s">
        <v>26</v>
      </c>
      <c r="AC271" s="1164">
        <f>SUMIF(AJ258:AJ277,"창국",F258:F277)+SUMIF(AJ258:AJ277,"창공",F258:F277)</f>
        <v>0</v>
      </c>
      <c r="AD271" s="1165">
        <f>SUMIF(AK258:AK277,"창국",K258:K277)+SUMIF(AK258:AK277,"창공",K258:K277)</f>
        <v>0</v>
      </c>
      <c r="AE271" s="1138">
        <f t="shared" si="54"/>
        <v>0</v>
      </c>
      <c r="AF271" s="1139">
        <f t="shared" si="54"/>
        <v>0</v>
      </c>
      <c r="AG271" s="1138" t="s">
        <v>26</v>
      </c>
      <c r="AH271" s="1138">
        <f t="shared" si="55"/>
        <v>0</v>
      </c>
      <c r="AI271" s="1139">
        <f t="shared" si="55"/>
        <v>0</v>
      </c>
      <c r="AJ271" s="1138" t="str">
        <f t="shared" si="56"/>
        <v/>
      </c>
      <c r="AK271" s="1138" t="str">
        <f t="shared" si="57"/>
        <v/>
      </c>
      <c r="AL271" s="66"/>
    </row>
    <row r="272" spans="1:38" s="67" customFormat="1" ht="24.95" hidden="1" customHeight="1" x14ac:dyDescent="0.15">
      <c r="A272" s="160">
        <v>255</v>
      </c>
      <c r="B272" s="222"/>
      <c r="C272" s="136"/>
      <c r="D272" s="222"/>
      <c r="E272" s="134"/>
      <c r="F272" s="134"/>
      <c r="G272" s="344"/>
      <c r="H272" s="346"/>
      <c r="I272" s="346"/>
      <c r="J272" s="344"/>
      <c r="K272" s="417"/>
      <c r="L272" s="1199"/>
      <c r="M272" s="204"/>
      <c r="N272" s="1200"/>
      <c r="O272" s="433"/>
      <c r="P272" s="204"/>
      <c r="Q272" s="204"/>
      <c r="R272" s="204"/>
      <c r="S272" s="1192"/>
      <c r="T272" s="1138" t="s">
        <v>50</v>
      </c>
      <c r="U272" s="1138">
        <f>COUNTIF(D258:D277,"공")</f>
        <v>0</v>
      </c>
      <c r="V272" s="1139">
        <f>COUNTIF(I258:I277,"공")</f>
        <v>0</v>
      </c>
      <c r="W272" s="1138" t="s">
        <v>26</v>
      </c>
      <c r="X272" s="1138">
        <f>SUMIF(D258:D277,"공",F258:F277)</f>
        <v>0</v>
      </c>
      <c r="Y272" s="1139">
        <f>SUMIF(I258:I277,"공",K258:K277)</f>
        <v>0</v>
      </c>
      <c r="Z272" s="1164">
        <f>COUNTIF(AJ258:AJ277,"공국")+COUNTIF(AJ258:AJ277,"공공")</f>
        <v>0</v>
      </c>
      <c r="AA272" s="1165">
        <f>COUNTIF(AK258:AK277,"공국")+COUNTIF(AK258:AK277,"공공")</f>
        <v>0</v>
      </c>
      <c r="AB272" s="1164" t="s">
        <v>26</v>
      </c>
      <c r="AC272" s="1164">
        <f>SUMIF(AJ258:AJ277,"공국",F258:F277)+SUMIF(AJ258:AJ277,"공공",F258:F277)</f>
        <v>0</v>
      </c>
      <c r="AD272" s="1165">
        <f>SUMIF(AK258:AK277,"공국",K258:K277)+SUMIF(AK258:AK277,"공공",K258:K277)</f>
        <v>0</v>
      </c>
      <c r="AE272" s="1138">
        <f t="shared" si="54"/>
        <v>0</v>
      </c>
      <c r="AF272" s="1139">
        <f t="shared" si="54"/>
        <v>0</v>
      </c>
      <c r="AG272" s="1138" t="s">
        <v>26</v>
      </c>
      <c r="AH272" s="1138">
        <f t="shared" si="55"/>
        <v>0</v>
      </c>
      <c r="AI272" s="1139">
        <f t="shared" si="55"/>
        <v>0</v>
      </c>
      <c r="AJ272" s="1138" t="str">
        <f t="shared" si="56"/>
        <v/>
      </c>
      <c r="AK272" s="1138" t="str">
        <f t="shared" si="57"/>
        <v/>
      </c>
      <c r="AL272" s="66"/>
    </row>
    <row r="273" spans="1:38" s="67" customFormat="1" ht="24.95" hidden="1" customHeight="1" x14ac:dyDescent="0.15">
      <c r="A273" s="160">
        <v>256</v>
      </c>
      <c r="B273" s="222"/>
      <c r="C273" s="136"/>
      <c r="D273" s="222"/>
      <c r="E273" s="1207"/>
      <c r="F273" s="1207"/>
      <c r="G273" s="1197"/>
      <c r="H273" s="346"/>
      <c r="I273" s="346"/>
      <c r="J273" s="1197"/>
      <c r="K273" s="417"/>
      <c r="L273" s="1199"/>
      <c r="M273" s="204"/>
      <c r="N273" s="1200"/>
      <c r="O273" s="433"/>
      <c r="P273" s="353"/>
      <c r="Q273" s="353"/>
      <c r="R273" s="353"/>
      <c r="S273" s="1192"/>
      <c r="T273" s="1142" t="s">
        <v>40</v>
      </c>
      <c r="U273" s="1138">
        <f>COUNTIF(D258:D277,"장")</f>
        <v>0</v>
      </c>
      <c r="V273" s="1139">
        <f>COUNTIF(I258:I277,"장")</f>
        <v>0</v>
      </c>
      <c r="W273" s="1138" t="s">
        <v>26</v>
      </c>
      <c r="X273" s="1138">
        <f>SUMIF(D258:D277,"장",F258:F277)</f>
        <v>0</v>
      </c>
      <c r="Y273" s="1139">
        <f>SUMIF(I258:I277,"장",K258:K277)</f>
        <v>0</v>
      </c>
      <c r="Z273" s="1164">
        <f>COUNTIF(AJ258:AJ277,"장국")+COUNTIF(AJ258:AJ277,"장공")</f>
        <v>0</v>
      </c>
      <c r="AA273" s="1165">
        <f>COUNTIF(AK258:AK277,"장국")+COUNTIF(AK258:AK277,"장공")</f>
        <v>0</v>
      </c>
      <c r="AB273" s="1164" t="s">
        <v>26</v>
      </c>
      <c r="AC273" s="1164">
        <f>SUMIF(AJ258:AJ277,"장국",F258:F277)+SUMIF(AJ258:AJ277,"장공",F258:F277)</f>
        <v>0</v>
      </c>
      <c r="AD273" s="1165">
        <f>SUMIF(AK258:AK277,"장국",K258:K277)+SUMIF(AK258:AK277,"장공",K258:K277)</f>
        <v>0</v>
      </c>
      <c r="AE273" s="1138">
        <f t="shared" si="54"/>
        <v>0</v>
      </c>
      <c r="AF273" s="1139">
        <f t="shared" si="54"/>
        <v>0</v>
      </c>
      <c r="AG273" s="1138" t="s">
        <v>26</v>
      </c>
      <c r="AH273" s="1138">
        <f t="shared" si="55"/>
        <v>0</v>
      </c>
      <c r="AI273" s="1139">
        <f t="shared" si="55"/>
        <v>0</v>
      </c>
      <c r="AJ273" s="1138" t="str">
        <f t="shared" si="56"/>
        <v/>
      </c>
      <c r="AK273" s="1138" t="str">
        <f t="shared" si="57"/>
        <v/>
      </c>
      <c r="AL273" s="66"/>
    </row>
    <row r="274" spans="1:38" s="67" customFormat="1" ht="24.95" hidden="1" customHeight="1" x14ac:dyDescent="0.15">
      <c r="A274" s="160">
        <v>257</v>
      </c>
      <c r="B274" s="222"/>
      <c r="C274" s="136"/>
      <c r="D274" s="222"/>
      <c r="E274" s="134"/>
      <c r="F274" s="134"/>
      <c r="G274" s="344"/>
      <c r="H274" s="346"/>
      <c r="I274" s="346"/>
      <c r="J274" s="344"/>
      <c r="K274" s="417"/>
      <c r="L274" s="1199"/>
      <c r="M274" s="204"/>
      <c r="N274" s="1200"/>
      <c r="O274" s="433"/>
      <c r="P274" s="353"/>
      <c r="Q274" s="353"/>
      <c r="R274" s="353"/>
      <c r="S274" s="1192"/>
      <c r="T274" s="1142" t="s">
        <v>5</v>
      </c>
      <c r="U274" s="1138">
        <f>COUNTIF(D258:D277,"목")</f>
        <v>0</v>
      </c>
      <c r="V274" s="1139">
        <f>COUNTIF(I258:I277,"목")</f>
        <v>0</v>
      </c>
      <c r="W274" s="1138" t="s">
        <v>26</v>
      </c>
      <c r="X274" s="1138">
        <f>SUMIF(D258:D277,"목",F258:F277)</f>
        <v>0</v>
      </c>
      <c r="Y274" s="1139">
        <f>SUMIF(I258:I277,"목",K258:K277)</f>
        <v>0</v>
      </c>
      <c r="Z274" s="1164">
        <f>COUNTIF(AJ258:AJ277,"목국")+COUNTIF(AJ258:AJ277,"목공")</f>
        <v>0</v>
      </c>
      <c r="AA274" s="1165">
        <f>COUNTIF(AK258:AK277,"목국")+COUNTIF(AK258:AK277,"목공")</f>
        <v>0</v>
      </c>
      <c r="AB274" s="1164" t="s">
        <v>26</v>
      </c>
      <c r="AC274" s="1164">
        <f>SUMIF(AJ258:AJ277,"목국",F258:F277)+SUMIF(AJ258:AJ277,"목공",F258:F277)</f>
        <v>0</v>
      </c>
      <c r="AD274" s="1165">
        <f>SUMIF(AK258:AK277,"목국",K258:K277)+SUMIF(AK258:AK277,"목공",K258:K277)</f>
        <v>0</v>
      </c>
      <c r="AE274" s="1138">
        <f t="shared" si="54"/>
        <v>0</v>
      </c>
      <c r="AF274" s="1139">
        <f t="shared" si="54"/>
        <v>0</v>
      </c>
      <c r="AG274" s="1138" t="s">
        <v>26</v>
      </c>
      <c r="AH274" s="1138">
        <f t="shared" si="55"/>
        <v>0</v>
      </c>
      <c r="AI274" s="1139">
        <f t="shared" si="55"/>
        <v>0</v>
      </c>
      <c r="AJ274" s="1138" t="str">
        <f t="shared" si="56"/>
        <v/>
      </c>
      <c r="AK274" s="1138" t="str">
        <f t="shared" si="57"/>
        <v/>
      </c>
      <c r="AL274" s="66"/>
    </row>
    <row r="275" spans="1:38" s="67" customFormat="1" ht="24.95" hidden="1" customHeight="1" x14ac:dyDescent="0.15">
      <c r="A275" s="160">
        <v>258</v>
      </c>
      <c r="B275" s="222"/>
      <c r="C275" s="136"/>
      <c r="D275" s="222"/>
      <c r="E275" s="134"/>
      <c r="F275" s="134"/>
      <c r="G275" s="344"/>
      <c r="H275" s="346"/>
      <c r="I275" s="346"/>
      <c r="J275" s="344"/>
      <c r="K275" s="417"/>
      <c r="L275" s="1199"/>
      <c r="M275" s="204"/>
      <c r="N275" s="1200"/>
      <c r="O275" s="433"/>
      <c r="P275" s="353"/>
      <c r="Q275" s="353"/>
      <c r="R275" s="353"/>
      <c r="S275" s="1192"/>
      <c r="T275" s="1142"/>
      <c r="U275" s="1142"/>
      <c r="V275" s="1143"/>
      <c r="W275" s="1142"/>
      <c r="X275" s="1142"/>
      <c r="Y275" s="1143"/>
      <c r="Z275" s="1164"/>
      <c r="AA275" s="1165"/>
      <c r="AB275" s="1173"/>
      <c r="AC275" s="1164"/>
      <c r="AD275" s="1165"/>
      <c r="AE275" s="1142"/>
      <c r="AF275" s="1143"/>
      <c r="AG275" s="1142"/>
      <c r="AH275" s="1142"/>
      <c r="AI275" s="1143"/>
      <c r="AJ275" s="1138" t="str">
        <f t="shared" si="56"/>
        <v/>
      </c>
      <c r="AK275" s="1138" t="str">
        <f t="shared" si="57"/>
        <v/>
      </c>
      <c r="AL275" s="66"/>
    </row>
    <row r="276" spans="1:38" s="67" customFormat="1" ht="24.95" hidden="1" customHeight="1" x14ac:dyDescent="0.15">
      <c r="A276" s="160">
        <v>259</v>
      </c>
      <c r="B276" s="222"/>
      <c r="C276" s="136"/>
      <c r="D276" s="222"/>
      <c r="E276" s="134"/>
      <c r="F276" s="134"/>
      <c r="G276" s="344"/>
      <c r="H276" s="346"/>
      <c r="I276" s="346"/>
      <c r="J276" s="344"/>
      <c r="K276" s="417"/>
      <c r="L276" s="1199"/>
      <c r="M276" s="204"/>
      <c r="N276" s="1200"/>
      <c r="O276" s="433"/>
      <c r="P276" s="353"/>
      <c r="Q276" s="353"/>
      <c r="R276" s="353"/>
      <c r="S276" s="1192"/>
      <c r="T276" s="1142"/>
      <c r="U276" s="1142"/>
      <c r="V276" s="1143"/>
      <c r="W276" s="1142"/>
      <c r="X276" s="1142"/>
      <c r="Y276" s="1143"/>
      <c r="Z276" s="1164"/>
      <c r="AA276" s="1165"/>
      <c r="AB276" s="1173"/>
      <c r="AC276" s="1164"/>
      <c r="AD276" s="1165"/>
      <c r="AE276" s="1142"/>
      <c r="AF276" s="1143"/>
      <c r="AG276" s="1142"/>
      <c r="AH276" s="1142"/>
      <c r="AI276" s="1143"/>
      <c r="AJ276" s="1138" t="str">
        <f t="shared" si="56"/>
        <v/>
      </c>
      <c r="AK276" s="1138" t="str">
        <f t="shared" si="57"/>
        <v/>
      </c>
      <c r="AL276" s="66"/>
    </row>
    <row r="277" spans="1:38" s="67" customFormat="1" ht="24.95" hidden="1" customHeight="1" x14ac:dyDescent="0.15">
      <c r="A277" s="160">
        <v>260</v>
      </c>
      <c r="B277" s="222"/>
      <c r="C277" s="136"/>
      <c r="D277" s="222"/>
      <c r="E277" s="1207"/>
      <c r="F277" s="1207"/>
      <c r="G277" s="1197"/>
      <c r="H277" s="346"/>
      <c r="I277" s="346"/>
      <c r="J277" s="1197"/>
      <c r="K277" s="417"/>
      <c r="L277" s="1208"/>
      <c r="M277" s="204"/>
      <c r="N277" s="1203"/>
      <c r="O277" s="433"/>
      <c r="P277" s="353"/>
      <c r="Q277" s="353"/>
      <c r="R277" s="353"/>
      <c r="S277" s="1209"/>
      <c r="T277" s="1144" t="s">
        <v>37</v>
      </c>
      <c r="U277" s="1144">
        <f>COUNTIF(D258:D277,"철")</f>
        <v>0</v>
      </c>
      <c r="V277" s="1145">
        <f>COUNTIF(I258:I277,"철")</f>
        <v>0</v>
      </c>
      <c r="W277" s="1144" t="s">
        <v>26</v>
      </c>
      <c r="X277" s="1144">
        <f>SUMIF(D258:D277,"철",F258:F277)</f>
        <v>0</v>
      </c>
      <c r="Y277" s="1145">
        <f>SUMIF(I258:I277,"철",K258:K277)</f>
        <v>0</v>
      </c>
      <c r="Z277" s="1164">
        <f>COUNTIF(AJ258:AJ277,"철국")+COUNTIF(AJ258:AJ277,"철공")</f>
        <v>0</v>
      </c>
      <c r="AA277" s="1165">
        <f>COUNTIF(AK258:AK277,"철국")+COUNTIF(AK258:AK277,"철공")</f>
        <v>0</v>
      </c>
      <c r="AB277" s="1174" t="s">
        <v>26</v>
      </c>
      <c r="AC277" s="1164">
        <f>SUMIF(AJ258:AJ277,"철국",F258:F277)+SUMIF(AJ258:AJ277,"철공",F258:F277)</f>
        <v>0</v>
      </c>
      <c r="AD277" s="1165">
        <f>SUMIF(AK258:AK277,"철국",K258:K277)+SUMIF(AK258:AK277,"철공",K258:K277)</f>
        <v>0</v>
      </c>
      <c r="AE277" s="1144"/>
      <c r="AF277" s="1145"/>
      <c r="AG277" s="1144"/>
      <c r="AH277" s="1144"/>
      <c r="AI277" s="1145"/>
      <c r="AJ277" s="1138" t="str">
        <f t="shared" si="56"/>
        <v/>
      </c>
      <c r="AK277" s="1138" t="str">
        <f t="shared" si="57"/>
        <v/>
      </c>
      <c r="AL277" s="66"/>
    </row>
    <row r="278" spans="1:38" s="57" customFormat="1" ht="24.95" hidden="1" customHeight="1" thickBot="1" x14ac:dyDescent="0.2">
      <c r="A278" s="1146" t="s">
        <v>48</v>
      </c>
      <c r="B278" s="1147"/>
      <c r="C278" s="1147"/>
      <c r="D278" s="1147"/>
      <c r="E278" s="1147"/>
      <c r="F278" s="1148">
        <f>SUM(F258:F277)</f>
        <v>0</v>
      </c>
      <c r="G278" s="1149"/>
      <c r="H278" s="1149"/>
      <c r="I278" s="1150"/>
      <c r="J278" s="1195"/>
      <c r="K278" s="1202">
        <f>SUM(K258:K277)</f>
        <v>0</v>
      </c>
      <c r="L278" s="1153"/>
      <c r="M278" s="1153"/>
      <c r="N278" s="1154"/>
      <c r="O278" s="1154"/>
      <c r="P278" s="1153"/>
      <c r="Q278" s="1153"/>
      <c r="R278" s="1153"/>
      <c r="S278" s="1155"/>
      <c r="T278" s="1156" t="s">
        <v>24</v>
      </c>
      <c r="U278" s="1157">
        <f t="shared" ref="U278:AA278" si="58">SUM(U258:U277)</f>
        <v>0</v>
      </c>
      <c r="V278" s="1157">
        <f t="shared" si="58"/>
        <v>0</v>
      </c>
      <c r="W278" s="1157">
        <f t="shared" si="58"/>
        <v>0</v>
      </c>
      <c r="X278" s="1157">
        <f t="shared" si="58"/>
        <v>0</v>
      </c>
      <c r="Y278" s="1157">
        <f t="shared" si="58"/>
        <v>0</v>
      </c>
      <c r="Z278" s="1164">
        <f t="shared" si="58"/>
        <v>0</v>
      </c>
      <c r="AA278" s="1165">
        <f t="shared" si="58"/>
        <v>0</v>
      </c>
      <c r="AB278" s="1164" t="s">
        <v>26</v>
      </c>
      <c r="AC278" s="1164">
        <f>SUM(AC258:AC277)</f>
        <v>0</v>
      </c>
      <c r="AD278" s="1165">
        <f>SUM(AD258:AD277)</f>
        <v>0</v>
      </c>
      <c r="AE278" s="1157">
        <f>SUM(AE258:AE277)</f>
        <v>0</v>
      </c>
      <c r="AF278" s="1157">
        <f>SUM(AF258:AF277)</f>
        <v>0</v>
      </c>
      <c r="AG278" s="1157" t="s">
        <v>26</v>
      </c>
      <c r="AH278" s="1157">
        <f>SUM(AH258:AH277)</f>
        <v>0</v>
      </c>
      <c r="AI278" s="1157">
        <f>SUM(AI258:AI277)</f>
        <v>0</v>
      </c>
      <c r="AJ278" s="1157"/>
      <c r="AK278" s="1134"/>
    </row>
    <row r="279" spans="1:38" s="67" customFormat="1" ht="24" hidden="1" customHeight="1" x14ac:dyDescent="0.15">
      <c r="A279" s="159">
        <v>261</v>
      </c>
      <c r="B279" s="270"/>
      <c r="C279" s="136"/>
      <c r="D279" s="222"/>
      <c r="E279" s="134"/>
      <c r="F279" s="134"/>
      <c r="G279" s="344"/>
      <c r="H279" s="346"/>
      <c r="I279" s="346"/>
      <c r="J279" s="344"/>
      <c r="K279" s="417"/>
      <c r="L279" s="1199"/>
      <c r="M279" s="204"/>
      <c r="N279" s="1200"/>
      <c r="O279" s="433"/>
      <c r="P279" s="1210"/>
      <c r="Q279" s="1210"/>
      <c r="R279" s="1210"/>
      <c r="S279" s="1211"/>
      <c r="T279" s="1138" t="s">
        <v>27</v>
      </c>
      <c r="U279" s="1138">
        <f>COUNTIF(D279:D298,"전")</f>
        <v>0</v>
      </c>
      <c r="V279" s="1139">
        <f>COUNTIF(I279:I298,"전")</f>
        <v>0</v>
      </c>
      <c r="W279" s="1138" t="s">
        <v>26</v>
      </c>
      <c r="X279" s="1138">
        <f>SUMIF(D279:D298,"전",F279:F298)</f>
        <v>0</v>
      </c>
      <c r="Y279" s="1139">
        <f>SUMIF(I279:I298,"전",K279:K298)</f>
        <v>0</v>
      </c>
      <c r="Z279" s="1164">
        <f>COUNTIF(AJ279:AJ298,"전국")+COUNTIF(AJ279:AJ298,"전공")</f>
        <v>0</v>
      </c>
      <c r="AA279" s="1165">
        <f>COUNTIF(AK279:AK298,"전국")+COUNTIF(AK279:AK298,"전공")</f>
        <v>0</v>
      </c>
      <c r="AB279" s="1164" t="s">
        <v>26</v>
      </c>
      <c r="AC279" s="1164">
        <f>SUMIF(AJ279:AJ298,"전국",F279:F298)+SUMIF(AJ279:AJ298,"전공",F279:F298)</f>
        <v>0</v>
      </c>
      <c r="AD279" s="1165">
        <f>SUMIF(AK279:AK298,"전국",K279:K298)+SUMIF(AK279:AK298,"전공",K279:K298)</f>
        <v>0</v>
      </c>
      <c r="AE279" s="1138">
        <f t="shared" ref="AE279:AF295" si="59">U279-Z279</f>
        <v>0</v>
      </c>
      <c r="AF279" s="1139">
        <f t="shared" si="59"/>
        <v>0</v>
      </c>
      <c r="AG279" s="1138" t="s">
        <v>26</v>
      </c>
      <c r="AH279" s="1138">
        <f t="shared" ref="AH279:AI295" si="60">X279-AC279</f>
        <v>0</v>
      </c>
      <c r="AI279" s="1139">
        <f t="shared" si="60"/>
        <v>0</v>
      </c>
      <c r="AJ279" s="1138" t="str">
        <f t="shared" ref="AJ279:AJ298" si="61">CONCATENATE(D279,L279)</f>
        <v/>
      </c>
      <c r="AK279" s="1138" t="str">
        <f t="shared" ref="AK279:AK298" si="62">CONCATENATE(I279,L279)</f>
        <v/>
      </c>
      <c r="AL279" s="66"/>
    </row>
    <row r="280" spans="1:38" s="67" customFormat="1" ht="24" hidden="1" customHeight="1" x14ac:dyDescent="0.15">
      <c r="A280" s="160">
        <v>262</v>
      </c>
      <c r="B280" s="235"/>
      <c r="C280" s="136"/>
      <c r="D280" s="222"/>
      <c r="E280" s="134"/>
      <c r="F280" s="134"/>
      <c r="G280" s="344"/>
      <c r="H280" s="346"/>
      <c r="I280" s="346"/>
      <c r="J280" s="344"/>
      <c r="K280" s="417"/>
      <c r="L280" s="1199"/>
      <c r="M280" s="204"/>
      <c r="N280" s="1200"/>
      <c r="O280" s="433"/>
      <c r="P280" s="353"/>
      <c r="Q280" s="353"/>
      <c r="R280" s="353"/>
      <c r="S280" s="1209"/>
      <c r="T280" s="1138" t="s">
        <v>28</v>
      </c>
      <c r="U280" s="1138">
        <f>COUNTIF(D279:D298,"답")</f>
        <v>0</v>
      </c>
      <c r="V280" s="1139">
        <f>COUNTIF(I279:I298,"답")</f>
        <v>0</v>
      </c>
      <c r="W280" s="1138" t="s">
        <v>26</v>
      </c>
      <c r="X280" s="1138">
        <f>SUMIF(D279:D298,"답",F279:F298)</f>
        <v>0</v>
      </c>
      <c r="Y280" s="1139">
        <f>SUMIF(I279:I298,"답",K279:K298)</f>
        <v>0</v>
      </c>
      <c r="Z280" s="1164">
        <f>COUNTIF(AJ279:AJ298,"답국")+COUNTIF(AJ279:AJ298,"답공")</f>
        <v>0</v>
      </c>
      <c r="AA280" s="1165">
        <f>COUNTIF(AK279:AK298,"답국")+COUNTIF(AK279:AK298,"답공")</f>
        <v>0</v>
      </c>
      <c r="AB280" s="1164" t="s">
        <v>26</v>
      </c>
      <c r="AC280" s="1164">
        <f>SUMIF(AJ279:AJ298,"답국",F279:F298)+SUMIF(AJ279:AJ298,"답공",F279:F298)</f>
        <v>0</v>
      </c>
      <c r="AD280" s="1165">
        <f>SUMIF(AK279:AK298,"답국",K279:K298)+SUMIF(AK279:AK298,"답공",K279:K298)</f>
        <v>0</v>
      </c>
      <c r="AE280" s="1138">
        <f t="shared" si="59"/>
        <v>0</v>
      </c>
      <c r="AF280" s="1139">
        <f t="shared" si="59"/>
        <v>0</v>
      </c>
      <c r="AG280" s="1138" t="s">
        <v>26</v>
      </c>
      <c r="AH280" s="1138">
        <f t="shared" si="60"/>
        <v>0</v>
      </c>
      <c r="AI280" s="1139">
        <f t="shared" si="60"/>
        <v>0</v>
      </c>
      <c r="AJ280" s="1138" t="str">
        <f t="shared" si="61"/>
        <v/>
      </c>
      <c r="AK280" s="1138" t="str">
        <f t="shared" si="62"/>
        <v/>
      </c>
      <c r="AL280" s="66"/>
    </row>
    <row r="281" spans="1:38" s="67" customFormat="1" ht="24" hidden="1" customHeight="1" x14ac:dyDescent="0.15">
      <c r="A281" s="160">
        <v>263</v>
      </c>
      <c r="B281" s="235"/>
      <c r="C281" s="136"/>
      <c r="D281" s="222"/>
      <c r="E281" s="134"/>
      <c r="F281" s="134"/>
      <c r="G281" s="344"/>
      <c r="H281" s="346"/>
      <c r="I281" s="346"/>
      <c r="J281" s="344"/>
      <c r="K281" s="417"/>
      <c r="L281" s="1199"/>
      <c r="M281" s="204"/>
      <c r="N281" s="1200"/>
      <c r="O281" s="433"/>
      <c r="P281" s="353"/>
      <c r="Q281" s="353"/>
      <c r="R281" s="353"/>
      <c r="S281" s="1209"/>
      <c r="T281" s="1138" t="s">
        <v>44</v>
      </c>
      <c r="U281" s="1138">
        <f>COUNTIF(D279:D298,"임")</f>
        <v>0</v>
      </c>
      <c r="V281" s="1139">
        <f>COUNTIF(I279:I298,"임")</f>
        <v>0</v>
      </c>
      <c r="W281" s="1138" t="s">
        <v>26</v>
      </c>
      <c r="X281" s="1138">
        <f>SUMIF(D279:D298,"임",F279:F298)</f>
        <v>0</v>
      </c>
      <c r="Y281" s="1139">
        <f>SUMIF(I279:I298,"임",K279:K298)</f>
        <v>0</v>
      </c>
      <c r="Z281" s="1164">
        <f>COUNTIF(AJ279:AJ298,"임국")+COUNTIF(AJ279:AJ298,"임공")</f>
        <v>0</v>
      </c>
      <c r="AA281" s="1165">
        <f>COUNTIF(AK279:AK298,"임국")+COUNTIF(AK279:AK298,"임공")</f>
        <v>0</v>
      </c>
      <c r="AB281" s="1164" t="s">
        <v>26</v>
      </c>
      <c r="AC281" s="1164">
        <f>SUMIF(AJ279:AJ298,"임국",F279:F298)+SUMIF(AJ279:AJ298,"임공",F279:F298)</f>
        <v>0</v>
      </c>
      <c r="AD281" s="1165">
        <f>SUMIF(AK279:AK298,"임국",K279:K298)+SUMIF(AK279:AK298,"임공",K279:K298)</f>
        <v>0</v>
      </c>
      <c r="AE281" s="1138">
        <f t="shared" si="59"/>
        <v>0</v>
      </c>
      <c r="AF281" s="1139">
        <f t="shared" si="59"/>
        <v>0</v>
      </c>
      <c r="AG281" s="1138" t="s">
        <v>26</v>
      </c>
      <c r="AH281" s="1138">
        <f t="shared" si="60"/>
        <v>0</v>
      </c>
      <c r="AI281" s="1139">
        <f t="shared" si="60"/>
        <v>0</v>
      </c>
      <c r="AJ281" s="1138" t="str">
        <f t="shared" si="61"/>
        <v/>
      </c>
      <c r="AK281" s="1138" t="str">
        <f t="shared" si="62"/>
        <v/>
      </c>
      <c r="AL281" s="66"/>
    </row>
    <row r="282" spans="1:38" s="67" customFormat="1" ht="24" hidden="1" customHeight="1" x14ac:dyDescent="0.15">
      <c r="A282" s="160">
        <v>264</v>
      </c>
      <c r="B282" s="235"/>
      <c r="C282" s="235"/>
      <c r="D282" s="222"/>
      <c r="E282" s="357"/>
      <c r="F282" s="357"/>
      <c r="G282" s="417"/>
      <c r="H282" s="504"/>
      <c r="I282" s="504"/>
      <c r="J282" s="417"/>
      <c r="K282" s="417"/>
      <c r="L282" s="374"/>
      <c r="M282" s="353"/>
      <c r="N282" s="1212"/>
      <c r="O282" s="1213"/>
      <c r="P282" s="353"/>
      <c r="Q282" s="353"/>
      <c r="R282" s="353"/>
      <c r="S282" s="1209"/>
      <c r="T282" s="1138" t="s">
        <v>45</v>
      </c>
      <c r="U282" s="1138">
        <f>COUNTIF(D279:D298,"대")</f>
        <v>0</v>
      </c>
      <c r="V282" s="1139">
        <f>COUNTIF(I279:I298,"대")</f>
        <v>0</v>
      </c>
      <c r="W282" s="1138" t="s">
        <v>26</v>
      </c>
      <c r="X282" s="1138">
        <f>SUMIF(D279:D298,"대",F279:F298)</f>
        <v>0</v>
      </c>
      <c r="Y282" s="1139">
        <f>SUMIF(I279:I298,"대",K279:K298)</f>
        <v>0</v>
      </c>
      <c r="Z282" s="1164">
        <f>COUNTIF(AJ279:AJ298,"대국")+COUNTIF(AJ279:AJ298,"대공")</f>
        <v>0</v>
      </c>
      <c r="AA282" s="1165">
        <f>COUNTIF(AK279:AK298,"대국")+COUNTIF(AK279:AK298,"대공")</f>
        <v>0</v>
      </c>
      <c r="AB282" s="1164" t="s">
        <v>26</v>
      </c>
      <c r="AC282" s="1164">
        <f>SUMIF(AJ279:AJ298,"대국",F279:F298)+SUMIF(AJ279:AJ298,"대공",F279:F298)</f>
        <v>0</v>
      </c>
      <c r="AD282" s="1165">
        <f>SUMIF(AK279:AK298,"대국",K279:K298)+SUMIF(AK279:AK298,"대공",K279:K298)</f>
        <v>0</v>
      </c>
      <c r="AE282" s="1138">
        <f t="shared" si="59"/>
        <v>0</v>
      </c>
      <c r="AF282" s="1139">
        <f t="shared" si="59"/>
        <v>0</v>
      </c>
      <c r="AG282" s="1138" t="s">
        <v>26</v>
      </c>
      <c r="AH282" s="1138">
        <f t="shared" si="60"/>
        <v>0</v>
      </c>
      <c r="AI282" s="1139">
        <f t="shared" si="60"/>
        <v>0</v>
      </c>
      <c r="AJ282" s="1138" t="str">
        <f t="shared" si="61"/>
        <v/>
      </c>
      <c r="AK282" s="1138" t="str">
        <f t="shared" si="62"/>
        <v/>
      </c>
      <c r="AL282" s="66"/>
    </row>
    <row r="283" spans="1:38" s="67" customFormat="1" ht="24" hidden="1" customHeight="1" x14ac:dyDescent="0.15">
      <c r="A283" s="160">
        <v>265</v>
      </c>
      <c r="B283" s="235"/>
      <c r="C283" s="235"/>
      <c r="D283" s="235"/>
      <c r="E283" s="357"/>
      <c r="F283" s="357"/>
      <c r="G283" s="417"/>
      <c r="H283" s="504"/>
      <c r="I283" s="504"/>
      <c r="J283" s="417"/>
      <c r="K283" s="417"/>
      <c r="L283" s="374"/>
      <c r="M283" s="353"/>
      <c r="N283" s="526"/>
      <c r="O283" s="1214"/>
      <c r="P283" s="353"/>
      <c r="Q283" s="353"/>
      <c r="R283" s="353"/>
      <c r="S283" s="1209"/>
      <c r="T283" s="1138" t="s">
        <v>31</v>
      </c>
      <c r="U283" s="1138">
        <f>COUNTIF(D279:D298,"도")</f>
        <v>0</v>
      </c>
      <c r="V283" s="1139">
        <f>COUNTIF(I279:I298,"도")</f>
        <v>0</v>
      </c>
      <c r="W283" s="1138" t="s">
        <v>26</v>
      </c>
      <c r="X283" s="1138">
        <f>SUMIF(D279:D298,"도",F279:F298)</f>
        <v>0</v>
      </c>
      <c r="Y283" s="1139">
        <f>SUMIF(I279:I298,"도",K279:K298)</f>
        <v>0</v>
      </c>
      <c r="Z283" s="1164">
        <f>COUNTIF(AJ279:AJ298,"도국")+COUNTIF(AJ279:AJ298,"도공")</f>
        <v>0</v>
      </c>
      <c r="AA283" s="1165">
        <f>COUNTIF(AK279:AK298,"도국")+COUNTIF(AK279:AK298,"도공")</f>
        <v>0</v>
      </c>
      <c r="AB283" s="1164" t="s">
        <v>26</v>
      </c>
      <c r="AC283" s="1164">
        <f>SUMIF(AJ279:AJ298,"도국",F279:F298)+SUMIF(AJ279:AJ298,"도공",F279:F298)</f>
        <v>0</v>
      </c>
      <c r="AD283" s="1165">
        <f>SUMIF(AK279:AK298,"도국",K279:K298)+SUMIF(AK279:AK298,"도공",K279:K298)</f>
        <v>0</v>
      </c>
      <c r="AE283" s="1138">
        <f t="shared" si="59"/>
        <v>0</v>
      </c>
      <c r="AF283" s="1139">
        <f t="shared" si="59"/>
        <v>0</v>
      </c>
      <c r="AG283" s="1138" t="s">
        <v>26</v>
      </c>
      <c r="AH283" s="1138">
        <f t="shared" si="60"/>
        <v>0</v>
      </c>
      <c r="AI283" s="1139">
        <f t="shared" si="60"/>
        <v>0</v>
      </c>
      <c r="AJ283" s="1138" t="str">
        <f t="shared" si="61"/>
        <v/>
      </c>
      <c r="AK283" s="1138" t="str">
        <f t="shared" si="62"/>
        <v/>
      </c>
      <c r="AL283" s="66"/>
    </row>
    <row r="284" spans="1:38" s="67" customFormat="1" ht="24" hidden="1" customHeight="1" x14ac:dyDescent="0.15">
      <c r="A284" s="160">
        <v>266</v>
      </c>
      <c r="B284" s="235"/>
      <c r="C284" s="235"/>
      <c r="D284" s="235"/>
      <c r="E284" s="357"/>
      <c r="F284" s="357"/>
      <c r="G284" s="417"/>
      <c r="H284" s="504"/>
      <c r="I284" s="504"/>
      <c r="J284" s="417"/>
      <c r="K284" s="417"/>
      <c r="L284" s="374"/>
      <c r="M284" s="353"/>
      <c r="N284" s="526"/>
      <c r="O284" s="1214"/>
      <c r="P284" s="353"/>
      <c r="Q284" s="353"/>
      <c r="R284" s="353"/>
      <c r="S284" s="1209"/>
      <c r="T284" s="1138" t="s">
        <v>32</v>
      </c>
      <c r="U284" s="1140">
        <f>COUNTIF(D279:D298,"천")</f>
        <v>0</v>
      </c>
      <c r="V284" s="1141">
        <f>COUNTIF(I279:I298,"천")</f>
        <v>0</v>
      </c>
      <c r="W284" s="1138" t="s">
        <v>26</v>
      </c>
      <c r="X284" s="1138">
        <f>SUMIF(D279:D298,"천",F279:F298)</f>
        <v>0</v>
      </c>
      <c r="Y284" s="1139">
        <f>SUMIF(I279:I298,"천",K279:K298)</f>
        <v>0</v>
      </c>
      <c r="Z284" s="1164">
        <f>COUNTIF(AJ279:AJ298,"천국")+COUNTIF(AJ279:AJ298,"천공")</f>
        <v>0</v>
      </c>
      <c r="AA284" s="1165">
        <f>COUNTIF(AK279:AK298,"천국")+COUNTIF(AK279:AK298,"천공")</f>
        <v>0</v>
      </c>
      <c r="AB284" s="1164" t="s">
        <v>26</v>
      </c>
      <c r="AC284" s="1164">
        <f>SUMIF(AJ279:AJ298,"천국",F279:F298)+SUMIF(AJ279:AJ298,"천공",F279:F298)</f>
        <v>0</v>
      </c>
      <c r="AD284" s="1165">
        <f>SUMIF(AK279:AK298,"천국",K279:K298)+SUMIF(AK279:AK298,"천공",K279:K298)</f>
        <v>0</v>
      </c>
      <c r="AE284" s="1138">
        <f t="shared" si="59"/>
        <v>0</v>
      </c>
      <c r="AF284" s="1139">
        <f t="shared" si="59"/>
        <v>0</v>
      </c>
      <c r="AG284" s="1138" t="s">
        <v>26</v>
      </c>
      <c r="AH284" s="1138">
        <f t="shared" si="60"/>
        <v>0</v>
      </c>
      <c r="AI284" s="1139">
        <f t="shared" si="60"/>
        <v>0</v>
      </c>
      <c r="AJ284" s="1138" t="str">
        <f t="shared" si="61"/>
        <v/>
      </c>
      <c r="AK284" s="1138" t="str">
        <f t="shared" si="62"/>
        <v/>
      </c>
      <c r="AL284" s="66"/>
    </row>
    <row r="285" spans="1:38" s="67" customFormat="1" ht="24" hidden="1" customHeight="1" x14ac:dyDescent="0.15">
      <c r="A285" s="160">
        <v>267</v>
      </c>
      <c r="B285" s="235"/>
      <c r="C285" s="235"/>
      <c r="D285" s="235"/>
      <c r="E285" s="357"/>
      <c r="F285" s="357"/>
      <c r="G285" s="417"/>
      <c r="H285" s="504"/>
      <c r="I285" s="504"/>
      <c r="J285" s="417"/>
      <c r="K285" s="417"/>
      <c r="L285" s="374"/>
      <c r="M285" s="353"/>
      <c r="N285" s="526"/>
      <c r="O285" s="1214"/>
      <c r="P285" s="353"/>
      <c r="Q285" s="353"/>
      <c r="R285" s="353"/>
      <c r="S285" s="1209"/>
      <c r="T285" s="1138" t="s">
        <v>33</v>
      </c>
      <c r="U285" s="1138">
        <f>COUNTIF(D279:D298,"구")</f>
        <v>0</v>
      </c>
      <c r="V285" s="1139">
        <f>COUNTIF(I279:I298,"구")</f>
        <v>0</v>
      </c>
      <c r="W285" s="1138" t="s">
        <v>26</v>
      </c>
      <c r="X285" s="1138">
        <f>SUMIF(D279:D298,"구",F279:F298)</f>
        <v>0</v>
      </c>
      <c r="Y285" s="1139">
        <f>SUMIF(I279:I298,"구",K279:K298)</f>
        <v>0</v>
      </c>
      <c r="Z285" s="1164">
        <f>COUNTIF(AJ279:AJ298,"구국")+COUNTIF(AJ279:AJ298,"구공")</f>
        <v>0</v>
      </c>
      <c r="AA285" s="1165">
        <f>COUNTIF(AK279:AK298,"구국")+COUNTIF(AK279:AK298,"구공")</f>
        <v>0</v>
      </c>
      <c r="AB285" s="1164" t="s">
        <v>26</v>
      </c>
      <c r="AC285" s="1164">
        <f>SUMIF(AJ279:AJ298,"구국",F279:F298)+SUMIF(AJ279:AJ298,"구공",F279:F298)</f>
        <v>0</v>
      </c>
      <c r="AD285" s="1165">
        <f>SUMIF(AK279:AK298,"구국",K279:K298)+SUMIF(AK279:AK298,"구공",K279:K298)</f>
        <v>0</v>
      </c>
      <c r="AE285" s="1138">
        <f t="shared" si="59"/>
        <v>0</v>
      </c>
      <c r="AF285" s="1139">
        <f t="shared" si="59"/>
        <v>0</v>
      </c>
      <c r="AG285" s="1138" t="s">
        <v>26</v>
      </c>
      <c r="AH285" s="1138">
        <f t="shared" si="60"/>
        <v>0</v>
      </c>
      <c r="AI285" s="1139">
        <f t="shared" si="60"/>
        <v>0</v>
      </c>
      <c r="AJ285" s="1138" t="str">
        <f t="shared" si="61"/>
        <v/>
      </c>
      <c r="AK285" s="1138" t="str">
        <f t="shared" si="62"/>
        <v/>
      </c>
      <c r="AL285" s="66"/>
    </row>
    <row r="286" spans="1:38" s="67" customFormat="1" ht="24" hidden="1" customHeight="1" x14ac:dyDescent="0.15">
      <c r="A286" s="160">
        <v>268</v>
      </c>
      <c r="B286" s="235"/>
      <c r="C286" s="235"/>
      <c r="D286" s="235"/>
      <c r="E286" s="357"/>
      <c r="F286" s="357"/>
      <c r="G286" s="417"/>
      <c r="H286" s="504"/>
      <c r="I286" s="504"/>
      <c r="J286" s="417"/>
      <c r="K286" s="417"/>
      <c r="L286" s="374"/>
      <c r="M286" s="353"/>
      <c r="N286" s="526"/>
      <c r="O286" s="1214"/>
      <c r="P286" s="353"/>
      <c r="Q286" s="353"/>
      <c r="R286" s="353"/>
      <c r="S286" s="1209"/>
      <c r="T286" s="1138" t="s">
        <v>34</v>
      </c>
      <c r="U286" s="1138">
        <f>COUNTIF(D279:D298,"제")</f>
        <v>0</v>
      </c>
      <c r="V286" s="1139">
        <f>COUNTIF(I279:I298,"제")</f>
        <v>0</v>
      </c>
      <c r="W286" s="1138" t="s">
        <v>26</v>
      </c>
      <c r="X286" s="1138">
        <f>SUMIF(D279:D298,"제",F279:F298)</f>
        <v>0</v>
      </c>
      <c r="Y286" s="1139">
        <f>SUMIF(I279:I298,"제",K279:K298)</f>
        <v>0</v>
      </c>
      <c r="Z286" s="1164">
        <f>COUNTIF(AJ279:AJ298,"제국")+COUNTIF(AJ279:AJ298,"제공")</f>
        <v>0</v>
      </c>
      <c r="AA286" s="1165">
        <f>COUNTIF(AK279:AK298,"제국")+COUNTIF(AK279:AK298,"제공")</f>
        <v>0</v>
      </c>
      <c r="AB286" s="1164" t="s">
        <v>26</v>
      </c>
      <c r="AC286" s="1164">
        <f>SUMIF(AJ279:AJ298,"제국",F279:F298)+SUMIF(AJ279:AJ298,"제공",F279:F298)</f>
        <v>0</v>
      </c>
      <c r="AD286" s="1165">
        <f>SUMIF(AK279:AK298,"제국",K279:K298)+SUMIF(AK279:AK298,"제공",K279:K298)</f>
        <v>0</v>
      </c>
      <c r="AE286" s="1138">
        <f t="shared" si="59"/>
        <v>0</v>
      </c>
      <c r="AF286" s="1139">
        <f t="shared" si="59"/>
        <v>0</v>
      </c>
      <c r="AG286" s="1138" t="s">
        <v>26</v>
      </c>
      <c r="AH286" s="1138">
        <f t="shared" si="60"/>
        <v>0</v>
      </c>
      <c r="AI286" s="1139">
        <f t="shared" si="60"/>
        <v>0</v>
      </c>
      <c r="AJ286" s="1138" t="str">
        <f t="shared" si="61"/>
        <v/>
      </c>
      <c r="AK286" s="1138" t="str">
        <f t="shared" si="62"/>
        <v/>
      </c>
      <c r="AL286" s="66"/>
    </row>
    <row r="287" spans="1:38" s="67" customFormat="1" ht="24" hidden="1" customHeight="1" x14ac:dyDescent="0.15">
      <c r="A287" s="160">
        <v>269</v>
      </c>
      <c r="B287" s="235"/>
      <c r="C287" s="235"/>
      <c r="D287" s="235"/>
      <c r="E287" s="357"/>
      <c r="F287" s="357"/>
      <c r="G287" s="417"/>
      <c r="H287" s="504"/>
      <c r="I287" s="504"/>
      <c r="J287" s="417"/>
      <c r="K287" s="417"/>
      <c r="L287" s="374"/>
      <c r="M287" s="353"/>
      <c r="N287" s="526"/>
      <c r="O287" s="1214"/>
      <c r="P287" s="353"/>
      <c r="Q287" s="353"/>
      <c r="R287" s="353"/>
      <c r="S287" s="1209"/>
      <c r="T287" s="1138" t="s">
        <v>46</v>
      </c>
      <c r="U287" s="1138">
        <f>COUNTIF(D279:D298,"유")</f>
        <v>0</v>
      </c>
      <c r="V287" s="1139">
        <f>COUNTIF(I279:I298,"유")</f>
        <v>0</v>
      </c>
      <c r="W287" s="1138" t="s">
        <v>26</v>
      </c>
      <c r="X287" s="1138">
        <f>SUMIF(D279:D298,"유",F279:F298)</f>
        <v>0</v>
      </c>
      <c r="Y287" s="1139">
        <f>SUMIF(I279:I298,"유",K279:K298)</f>
        <v>0</v>
      </c>
      <c r="Z287" s="1164">
        <f>COUNTIF(AJ279:AJ298,"유국")+COUNTIF(AJ279:AJ298,"유공")</f>
        <v>0</v>
      </c>
      <c r="AA287" s="1165">
        <f>COUNTIF(AK279:AK298,"유국")+COUNTIF(AK279:AK298,"유공")</f>
        <v>0</v>
      </c>
      <c r="AB287" s="1164" t="s">
        <v>26</v>
      </c>
      <c r="AC287" s="1164">
        <f>SUMIF(AJ279:AJ298,"유국",F279:F298)+SUMIF(AJ279:AJ298,"유공",F279:F298)</f>
        <v>0</v>
      </c>
      <c r="AD287" s="1165">
        <f>SUMIF(AK279:AK298,"유국",K279:K298)+SUMIF(AK279:AK298,"유공",K279:K298)</f>
        <v>0</v>
      </c>
      <c r="AE287" s="1138">
        <f t="shared" si="59"/>
        <v>0</v>
      </c>
      <c r="AF287" s="1139">
        <f t="shared" si="59"/>
        <v>0</v>
      </c>
      <c r="AG287" s="1138" t="s">
        <v>26</v>
      </c>
      <c r="AH287" s="1138">
        <f t="shared" si="60"/>
        <v>0</v>
      </c>
      <c r="AI287" s="1139">
        <f t="shared" si="60"/>
        <v>0</v>
      </c>
      <c r="AJ287" s="1138" t="str">
        <f t="shared" si="61"/>
        <v/>
      </c>
      <c r="AK287" s="1138" t="str">
        <f t="shared" si="62"/>
        <v/>
      </c>
      <c r="AL287" s="66"/>
    </row>
    <row r="288" spans="1:38" s="67" customFormat="1" ht="24" hidden="1" customHeight="1" x14ac:dyDescent="0.15">
      <c r="A288" s="160">
        <v>270</v>
      </c>
      <c r="B288" s="235"/>
      <c r="C288" s="235"/>
      <c r="D288" s="235"/>
      <c r="E288" s="357"/>
      <c r="F288" s="357"/>
      <c r="G288" s="417"/>
      <c r="H288" s="504"/>
      <c r="I288" s="504"/>
      <c r="J288" s="417"/>
      <c r="K288" s="417"/>
      <c r="L288" s="374"/>
      <c r="M288" s="353"/>
      <c r="N288" s="526"/>
      <c r="O288" s="1214"/>
      <c r="P288" s="353"/>
      <c r="Q288" s="353"/>
      <c r="R288" s="353"/>
      <c r="S288" s="1209"/>
      <c r="T288" s="1138" t="s">
        <v>47</v>
      </c>
      <c r="U288" s="1138">
        <f>COUNTIF(D279:D298,"과")</f>
        <v>0</v>
      </c>
      <c r="V288" s="1139">
        <f>COUNTIF(I279:I298,"과")</f>
        <v>0</v>
      </c>
      <c r="W288" s="1138" t="s">
        <v>26</v>
      </c>
      <c r="X288" s="1138">
        <f>SUMIF(D279:D298,"과",F279:F298)</f>
        <v>0</v>
      </c>
      <c r="Y288" s="1139">
        <f>SUMIF(I279:I298,"과",K279:K298)</f>
        <v>0</v>
      </c>
      <c r="Z288" s="1164">
        <f>COUNTIF(AJ279:AJ298,"과국")+COUNTIF(AJ279:AJ298,"과공")</f>
        <v>0</v>
      </c>
      <c r="AA288" s="1165">
        <f>COUNTIF(AK279:AK298,"과국")+COUNTIF(AK279:AK298,"과공")</f>
        <v>0</v>
      </c>
      <c r="AB288" s="1164" t="s">
        <v>26</v>
      </c>
      <c r="AC288" s="1164">
        <f>SUMIF(AJ279:AJ298,"과국",F279:F298)+SUMIF(AJ279:AJ298,"과공",F279:F298)</f>
        <v>0</v>
      </c>
      <c r="AD288" s="1165">
        <f>SUMIF(AK279:AK298,"과국",K279:K298)+SUMIF(AK279:AK298,"과공",K279:K298)</f>
        <v>0</v>
      </c>
      <c r="AE288" s="1138">
        <f t="shared" si="59"/>
        <v>0</v>
      </c>
      <c r="AF288" s="1139">
        <f t="shared" si="59"/>
        <v>0</v>
      </c>
      <c r="AG288" s="1138" t="s">
        <v>26</v>
      </c>
      <c r="AH288" s="1138">
        <f t="shared" si="60"/>
        <v>0</v>
      </c>
      <c r="AI288" s="1139">
        <f t="shared" si="60"/>
        <v>0</v>
      </c>
      <c r="AJ288" s="1138" t="str">
        <f t="shared" si="61"/>
        <v/>
      </c>
      <c r="AK288" s="1138" t="str">
        <f t="shared" si="62"/>
        <v/>
      </c>
      <c r="AL288" s="66"/>
    </row>
    <row r="289" spans="1:38" s="67" customFormat="1" ht="24" hidden="1" customHeight="1" x14ac:dyDescent="0.15">
      <c r="A289" s="160">
        <v>271</v>
      </c>
      <c r="B289" s="235"/>
      <c r="C289" s="235"/>
      <c r="D289" s="235"/>
      <c r="E289" s="357"/>
      <c r="F289" s="357"/>
      <c r="G289" s="417"/>
      <c r="H289" s="504"/>
      <c r="I289" s="504"/>
      <c r="J289" s="417"/>
      <c r="K289" s="417"/>
      <c r="L289" s="374"/>
      <c r="M289" s="353"/>
      <c r="N289" s="526"/>
      <c r="O289" s="1214"/>
      <c r="P289" s="353"/>
      <c r="Q289" s="353"/>
      <c r="R289" s="353"/>
      <c r="S289" s="1209"/>
      <c r="T289" s="1138" t="s">
        <v>36</v>
      </c>
      <c r="U289" s="1138">
        <f>COUNTIF(D279:D298,"묘")</f>
        <v>0</v>
      </c>
      <c r="V289" s="1139">
        <f>COUNTIF(I279:I298,"묘")</f>
        <v>0</v>
      </c>
      <c r="W289" s="1138" t="s">
        <v>26</v>
      </c>
      <c r="X289" s="1138">
        <f>SUMIF(D279:D298,"묘",F279:F298)</f>
        <v>0</v>
      </c>
      <c r="Y289" s="1139">
        <f>SUMIF(I279:I298,"묘",K279:K298)</f>
        <v>0</v>
      </c>
      <c r="Z289" s="1164">
        <f>COUNTIF(AJ279:AJ298,"묘국")+COUNTIF(AJ279:AJ298,"묘공")</f>
        <v>0</v>
      </c>
      <c r="AA289" s="1165">
        <f>COUNTIF(AK279:AK298,"묘국")+COUNTIF(AK279:AK298,"묘공")</f>
        <v>0</v>
      </c>
      <c r="AB289" s="1164" t="s">
        <v>26</v>
      </c>
      <c r="AC289" s="1164">
        <f>SUMIF(AJ279:AJ298,"묘국",F279:F298)+SUMIF(AJ279:AJ298,"묘공",F279:F298)</f>
        <v>0</v>
      </c>
      <c r="AD289" s="1165">
        <f>SUMIF(AK279:AK298,"묘국",K279:K298)+SUMIF(AK279:AK298,"묘공",K279:K298)</f>
        <v>0</v>
      </c>
      <c r="AE289" s="1138">
        <f t="shared" si="59"/>
        <v>0</v>
      </c>
      <c r="AF289" s="1139">
        <f t="shared" si="59"/>
        <v>0</v>
      </c>
      <c r="AG289" s="1138" t="s">
        <v>26</v>
      </c>
      <c r="AH289" s="1138">
        <f t="shared" si="60"/>
        <v>0</v>
      </c>
      <c r="AI289" s="1139">
        <f t="shared" si="60"/>
        <v>0</v>
      </c>
      <c r="AJ289" s="1138" t="str">
        <f t="shared" si="61"/>
        <v/>
      </c>
      <c r="AK289" s="1138" t="str">
        <f t="shared" si="62"/>
        <v/>
      </c>
      <c r="AL289" s="66"/>
    </row>
    <row r="290" spans="1:38" s="67" customFormat="1" ht="24" hidden="1" customHeight="1" x14ac:dyDescent="0.15">
      <c r="A290" s="160">
        <v>272</v>
      </c>
      <c r="B290" s="235"/>
      <c r="C290" s="235"/>
      <c r="D290" s="235"/>
      <c r="E290" s="357"/>
      <c r="F290" s="357"/>
      <c r="G290" s="417"/>
      <c r="H290" s="504"/>
      <c r="I290" s="504"/>
      <c r="J290" s="417"/>
      <c r="K290" s="417"/>
      <c r="L290" s="374"/>
      <c r="M290" s="353"/>
      <c r="N290" s="526"/>
      <c r="O290" s="1214"/>
      <c r="P290" s="353"/>
      <c r="Q290" s="353"/>
      <c r="R290" s="353"/>
      <c r="S290" s="1209"/>
      <c r="T290" s="1138" t="s">
        <v>39</v>
      </c>
      <c r="U290" s="1138">
        <f>COUNTIF(D279:D298,"수")</f>
        <v>0</v>
      </c>
      <c r="V290" s="1139">
        <f>COUNTIF(I279:I298,"수")</f>
        <v>0</v>
      </c>
      <c r="W290" s="1138" t="s">
        <v>26</v>
      </c>
      <c r="X290" s="1138">
        <f>SUMIF(D279:D298,"수",F279:F298)</f>
        <v>0</v>
      </c>
      <c r="Y290" s="1139">
        <f>SUMIF(I279:I298,"수",K279:K298)</f>
        <v>0</v>
      </c>
      <c r="Z290" s="1164">
        <f>COUNTIF(AJ279:AJ298,"수국")+COUNTIF(AJ279:AJ298,"수공")</f>
        <v>0</v>
      </c>
      <c r="AA290" s="1165">
        <f>COUNTIF(AK279:AK298,"수국")+COUNTIF(AK279:AK298,"수공")</f>
        <v>0</v>
      </c>
      <c r="AB290" s="1164" t="s">
        <v>26</v>
      </c>
      <c r="AC290" s="1164">
        <f>SUMIF(AJ279:AJ298,"수국",F279:F298)+SUMIF(AJ279:AJ298,"수공",F279:F298)</f>
        <v>0</v>
      </c>
      <c r="AD290" s="1165">
        <f>SUMIF(AK279:AK298,"수국",K279:K298)+SUMIF(AK279:AK298,"수공",K279:K298)</f>
        <v>0</v>
      </c>
      <c r="AE290" s="1138">
        <f t="shared" si="59"/>
        <v>0</v>
      </c>
      <c r="AF290" s="1139">
        <f t="shared" si="59"/>
        <v>0</v>
      </c>
      <c r="AG290" s="1138" t="s">
        <v>26</v>
      </c>
      <c r="AH290" s="1138">
        <f t="shared" si="60"/>
        <v>0</v>
      </c>
      <c r="AI290" s="1139">
        <f t="shared" si="60"/>
        <v>0</v>
      </c>
      <c r="AJ290" s="1138" t="str">
        <f t="shared" si="61"/>
        <v/>
      </c>
      <c r="AK290" s="1138" t="str">
        <f t="shared" si="62"/>
        <v/>
      </c>
      <c r="AL290" s="66"/>
    </row>
    <row r="291" spans="1:38" s="67" customFormat="1" ht="24" hidden="1" customHeight="1" x14ac:dyDescent="0.15">
      <c r="A291" s="160">
        <v>273</v>
      </c>
      <c r="B291" s="235"/>
      <c r="C291" s="235"/>
      <c r="D291" s="235"/>
      <c r="E291" s="357"/>
      <c r="F291" s="357"/>
      <c r="G291" s="417"/>
      <c r="H291" s="504"/>
      <c r="I291" s="504"/>
      <c r="J291" s="417"/>
      <c r="K291" s="417"/>
      <c r="L291" s="374"/>
      <c r="M291" s="353"/>
      <c r="N291" s="526"/>
      <c r="O291" s="1214"/>
      <c r="P291" s="353"/>
      <c r="Q291" s="353"/>
      <c r="R291" s="353"/>
      <c r="S291" s="1209"/>
      <c r="T291" s="1138" t="s">
        <v>35</v>
      </c>
      <c r="U291" s="1138">
        <f>COUNTIF(D279:D298,"잡")</f>
        <v>0</v>
      </c>
      <c r="V291" s="1139">
        <f>COUNTIF(I279:I298,"잡")</f>
        <v>0</v>
      </c>
      <c r="W291" s="1138" t="s">
        <v>26</v>
      </c>
      <c r="X291" s="1138">
        <f>SUMIF(D279:D298,"잡",F279:F298)</f>
        <v>0</v>
      </c>
      <c r="Y291" s="1139">
        <f>SUMIF(I279:I298,"잡",K279:K298)</f>
        <v>0</v>
      </c>
      <c r="Z291" s="1164">
        <f>COUNTIF(AJ279:AJ298,"잡국")+COUNTIF(AJ279:AJ298,"잡공")</f>
        <v>0</v>
      </c>
      <c r="AA291" s="1165">
        <f>COUNTIF(AK279:AK298,"잡국")+COUNTIF(AK279:AK298,"잡공")</f>
        <v>0</v>
      </c>
      <c r="AB291" s="1164" t="s">
        <v>26</v>
      </c>
      <c r="AC291" s="1164">
        <f>SUMIF(AJ279:AJ298,"잡국",F279:F298)+SUMIF(AJ279:AJ298,"잡공",F279:F298)</f>
        <v>0</v>
      </c>
      <c r="AD291" s="1165">
        <f>SUMIF(AK279:AK298,"잡국",K279:K298)+SUMIF(AK279:AK298,"잡공",K279:K298)</f>
        <v>0</v>
      </c>
      <c r="AE291" s="1138">
        <f t="shared" si="59"/>
        <v>0</v>
      </c>
      <c r="AF291" s="1139">
        <f t="shared" si="59"/>
        <v>0</v>
      </c>
      <c r="AG291" s="1138" t="s">
        <v>26</v>
      </c>
      <c r="AH291" s="1138">
        <f t="shared" si="60"/>
        <v>0</v>
      </c>
      <c r="AI291" s="1139">
        <f t="shared" si="60"/>
        <v>0</v>
      </c>
      <c r="AJ291" s="1138" t="str">
        <f t="shared" si="61"/>
        <v/>
      </c>
      <c r="AK291" s="1138" t="str">
        <f t="shared" si="62"/>
        <v/>
      </c>
      <c r="AL291" s="66"/>
    </row>
    <row r="292" spans="1:38" s="67" customFormat="1" ht="24" hidden="1" customHeight="1" x14ac:dyDescent="0.15">
      <c r="A292" s="160">
        <v>274</v>
      </c>
      <c r="B292" s="235"/>
      <c r="C292" s="235"/>
      <c r="D292" s="235"/>
      <c r="E292" s="357"/>
      <c r="F292" s="357"/>
      <c r="G292" s="417"/>
      <c r="H292" s="504"/>
      <c r="I292" s="504"/>
      <c r="J292" s="417"/>
      <c r="K292" s="417"/>
      <c r="L292" s="374"/>
      <c r="M292" s="353"/>
      <c r="N292" s="526"/>
      <c r="O292" s="1214"/>
      <c r="P292" s="353"/>
      <c r="Q292" s="353"/>
      <c r="R292" s="353"/>
      <c r="S292" s="1209"/>
      <c r="T292" s="1138" t="s">
        <v>221</v>
      </c>
      <c r="U292" s="1138">
        <f>COUNTIF(D279:D298,"창")</f>
        <v>0</v>
      </c>
      <c r="V292" s="1139">
        <f>COUNTIF(I279:I298,"창")</f>
        <v>0</v>
      </c>
      <c r="W292" s="1138" t="s">
        <v>26</v>
      </c>
      <c r="X292" s="1138">
        <f>SUMIF(D279:D298,"창",F279:F298)</f>
        <v>0</v>
      </c>
      <c r="Y292" s="1139">
        <f>SUMIF(I279:I298,"창",K279:K298)</f>
        <v>0</v>
      </c>
      <c r="Z292" s="1164">
        <f>COUNTIF(AJ279:AJ298,"창국")+COUNTIF(AJ279:AJ298,"창공")</f>
        <v>0</v>
      </c>
      <c r="AA292" s="1165">
        <f>COUNTIF(AK279:AK298,"창국")+COUNTIF(AK279:AK298,"창공")</f>
        <v>0</v>
      </c>
      <c r="AB292" s="1164" t="s">
        <v>26</v>
      </c>
      <c r="AC292" s="1164">
        <f>SUMIF(AJ279:AJ298,"창국",F279:F298)+SUMIF(AJ279:AJ298,"창공",F279:F298)</f>
        <v>0</v>
      </c>
      <c r="AD292" s="1165">
        <f>SUMIF(AK279:AK298,"창국",K279:K298)+SUMIF(AK279:AK298,"창공",K279:K298)</f>
        <v>0</v>
      </c>
      <c r="AE292" s="1138">
        <f t="shared" si="59"/>
        <v>0</v>
      </c>
      <c r="AF292" s="1139">
        <f t="shared" si="59"/>
        <v>0</v>
      </c>
      <c r="AG292" s="1138" t="s">
        <v>26</v>
      </c>
      <c r="AH292" s="1138">
        <f t="shared" si="60"/>
        <v>0</v>
      </c>
      <c r="AI292" s="1139">
        <f t="shared" si="60"/>
        <v>0</v>
      </c>
      <c r="AJ292" s="1138" t="str">
        <f t="shared" si="61"/>
        <v/>
      </c>
      <c r="AK292" s="1138" t="str">
        <f t="shared" si="62"/>
        <v/>
      </c>
      <c r="AL292" s="66"/>
    </row>
    <row r="293" spans="1:38" s="67" customFormat="1" ht="24" hidden="1" customHeight="1" x14ac:dyDescent="0.15">
      <c r="A293" s="160">
        <v>275</v>
      </c>
      <c r="B293" s="235"/>
      <c r="C293" s="235"/>
      <c r="D293" s="235"/>
      <c r="E293" s="357"/>
      <c r="F293" s="357"/>
      <c r="G293" s="417"/>
      <c r="H293" s="504"/>
      <c r="I293" s="504"/>
      <c r="J293" s="417"/>
      <c r="K293" s="417"/>
      <c r="L293" s="374"/>
      <c r="M293" s="353"/>
      <c r="N293" s="526"/>
      <c r="O293" s="1214"/>
      <c r="P293" s="353"/>
      <c r="Q293" s="353"/>
      <c r="R293" s="353"/>
      <c r="S293" s="1209"/>
      <c r="T293" s="1138" t="s">
        <v>50</v>
      </c>
      <c r="U293" s="1138">
        <f>COUNTIF(D279:D298,"공")</f>
        <v>0</v>
      </c>
      <c r="V293" s="1139">
        <f>COUNTIF(I279:I298,"공")</f>
        <v>0</v>
      </c>
      <c r="W293" s="1138" t="s">
        <v>26</v>
      </c>
      <c r="X293" s="1138">
        <f>SUMIF(D279:D298,"공",F279:F298)</f>
        <v>0</v>
      </c>
      <c r="Y293" s="1139">
        <f>SUMIF(I279:I298,"공",K279:K298)</f>
        <v>0</v>
      </c>
      <c r="Z293" s="1164">
        <f>COUNTIF(AJ279:AJ298,"공국")+COUNTIF(AJ279:AJ298,"공공")</f>
        <v>0</v>
      </c>
      <c r="AA293" s="1165">
        <f>COUNTIF(AK279:AK298,"공국")+COUNTIF(AK279:AK298,"공공")</f>
        <v>0</v>
      </c>
      <c r="AB293" s="1164" t="s">
        <v>26</v>
      </c>
      <c r="AC293" s="1164">
        <f>SUMIF(AJ279:AJ298,"공국",F279:F298)+SUMIF(AJ279:AJ298,"공공",F279:F298)</f>
        <v>0</v>
      </c>
      <c r="AD293" s="1165">
        <f>SUMIF(AK279:AK298,"공국",K279:K298)+SUMIF(AK279:AK298,"공공",K279:K298)</f>
        <v>0</v>
      </c>
      <c r="AE293" s="1138">
        <f t="shared" si="59"/>
        <v>0</v>
      </c>
      <c r="AF293" s="1139">
        <f t="shared" si="59"/>
        <v>0</v>
      </c>
      <c r="AG293" s="1138" t="s">
        <v>26</v>
      </c>
      <c r="AH293" s="1138">
        <f t="shared" si="60"/>
        <v>0</v>
      </c>
      <c r="AI293" s="1139">
        <f t="shared" si="60"/>
        <v>0</v>
      </c>
      <c r="AJ293" s="1138" t="str">
        <f t="shared" si="61"/>
        <v/>
      </c>
      <c r="AK293" s="1138" t="str">
        <f t="shared" si="62"/>
        <v/>
      </c>
      <c r="AL293" s="66"/>
    </row>
    <row r="294" spans="1:38" s="67" customFormat="1" ht="24" hidden="1" customHeight="1" x14ac:dyDescent="0.15">
      <c r="A294" s="160">
        <v>276</v>
      </c>
      <c r="B294" s="235"/>
      <c r="C294" s="235"/>
      <c r="D294" s="235"/>
      <c r="E294" s="357"/>
      <c r="F294" s="357"/>
      <c r="G294" s="417"/>
      <c r="H294" s="504"/>
      <c r="I294" s="504"/>
      <c r="J294" s="417"/>
      <c r="K294" s="417"/>
      <c r="L294" s="374"/>
      <c r="M294" s="353"/>
      <c r="N294" s="526"/>
      <c r="O294" s="1214"/>
      <c r="P294" s="353"/>
      <c r="Q294" s="353"/>
      <c r="R294" s="353"/>
      <c r="S294" s="1209"/>
      <c r="T294" s="1142" t="s">
        <v>40</v>
      </c>
      <c r="U294" s="1138">
        <f>COUNTIF(D279:D298,"장")</f>
        <v>0</v>
      </c>
      <c r="V294" s="1139">
        <f>COUNTIF(I279:I298,"장")</f>
        <v>0</v>
      </c>
      <c r="W294" s="1138" t="s">
        <v>26</v>
      </c>
      <c r="X294" s="1138">
        <f>SUMIF(D279:D298,"장",F279:F298)</f>
        <v>0</v>
      </c>
      <c r="Y294" s="1139">
        <f>SUMIF(I279:I298,"장",K279:K298)</f>
        <v>0</v>
      </c>
      <c r="Z294" s="1164">
        <f>COUNTIF(AJ279:AJ298,"장국")+COUNTIF(AJ279:AJ298,"장공")</f>
        <v>0</v>
      </c>
      <c r="AA294" s="1165">
        <f>COUNTIF(AK279:AK298,"장국")+COUNTIF(AK279:AK298,"장공")</f>
        <v>0</v>
      </c>
      <c r="AB294" s="1164" t="s">
        <v>26</v>
      </c>
      <c r="AC294" s="1164">
        <f>SUMIF(AJ279:AJ298,"장국",F279:F298)+SUMIF(AJ279:AJ298,"장공",F279:F298)</f>
        <v>0</v>
      </c>
      <c r="AD294" s="1165">
        <f>SUMIF(AK279:AK298,"장국",K279:K298)+SUMIF(AK279:AK298,"장공",K279:K298)</f>
        <v>0</v>
      </c>
      <c r="AE294" s="1138">
        <f t="shared" si="59"/>
        <v>0</v>
      </c>
      <c r="AF294" s="1139">
        <f t="shared" si="59"/>
        <v>0</v>
      </c>
      <c r="AG294" s="1138" t="s">
        <v>26</v>
      </c>
      <c r="AH294" s="1138">
        <f t="shared" si="60"/>
        <v>0</v>
      </c>
      <c r="AI294" s="1139">
        <f t="shared" si="60"/>
        <v>0</v>
      </c>
      <c r="AJ294" s="1138" t="str">
        <f t="shared" si="61"/>
        <v/>
      </c>
      <c r="AK294" s="1138" t="str">
        <f t="shared" si="62"/>
        <v/>
      </c>
      <c r="AL294" s="66"/>
    </row>
    <row r="295" spans="1:38" s="67" customFormat="1" ht="24" hidden="1" customHeight="1" x14ac:dyDescent="0.15">
      <c r="A295" s="160">
        <v>277</v>
      </c>
      <c r="B295" s="235"/>
      <c r="C295" s="235"/>
      <c r="D295" s="235"/>
      <c r="E295" s="357"/>
      <c r="F295" s="357"/>
      <c r="G295" s="417"/>
      <c r="H295" s="504"/>
      <c r="I295" s="504"/>
      <c r="J295" s="417"/>
      <c r="K295" s="417"/>
      <c r="L295" s="374"/>
      <c r="M295" s="353"/>
      <c r="N295" s="526"/>
      <c r="O295" s="1214"/>
      <c r="P295" s="353"/>
      <c r="Q295" s="353"/>
      <c r="R295" s="353"/>
      <c r="S295" s="1209"/>
      <c r="T295" s="1142" t="s">
        <v>5</v>
      </c>
      <c r="U295" s="1138">
        <f>COUNTIF(D279:D298,"목")</f>
        <v>0</v>
      </c>
      <c r="V295" s="1139">
        <f>COUNTIF(I279:I298,"목")</f>
        <v>0</v>
      </c>
      <c r="W295" s="1138" t="s">
        <v>26</v>
      </c>
      <c r="X295" s="1138">
        <f>SUMIF(D279:D298,"목",F279:F298)</f>
        <v>0</v>
      </c>
      <c r="Y295" s="1139">
        <f>SUMIF(I279:I298,"목",K279:K298)</f>
        <v>0</v>
      </c>
      <c r="Z295" s="1164">
        <f>COUNTIF(AJ279:AJ298,"목국")+COUNTIF(AJ279:AJ298,"목공")</f>
        <v>0</v>
      </c>
      <c r="AA295" s="1165">
        <f>COUNTIF(AK279:AK298,"목국")+COUNTIF(AK279:AK298,"목공")</f>
        <v>0</v>
      </c>
      <c r="AB295" s="1164" t="s">
        <v>26</v>
      </c>
      <c r="AC295" s="1164">
        <f>SUMIF(AJ279:AJ298,"목국",F279:F298)+SUMIF(AJ279:AJ298,"목공",F279:F298)</f>
        <v>0</v>
      </c>
      <c r="AD295" s="1165">
        <f>SUMIF(AK279:AK298,"목국",K279:K298)+SUMIF(AK279:AK298,"목공",K279:K298)</f>
        <v>0</v>
      </c>
      <c r="AE295" s="1138">
        <f t="shared" si="59"/>
        <v>0</v>
      </c>
      <c r="AF295" s="1139">
        <f t="shared" si="59"/>
        <v>0</v>
      </c>
      <c r="AG295" s="1138" t="s">
        <v>26</v>
      </c>
      <c r="AH295" s="1138">
        <f t="shared" si="60"/>
        <v>0</v>
      </c>
      <c r="AI295" s="1139">
        <f t="shared" si="60"/>
        <v>0</v>
      </c>
      <c r="AJ295" s="1138" t="str">
        <f t="shared" si="61"/>
        <v/>
      </c>
      <c r="AK295" s="1138" t="str">
        <f t="shared" si="62"/>
        <v/>
      </c>
      <c r="AL295" s="66"/>
    </row>
    <row r="296" spans="1:38" s="67" customFormat="1" ht="24" hidden="1" customHeight="1" x14ac:dyDescent="0.15">
      <c r="A296" s="160">
        <v>278</v>
      </c>
      <c r="B296" s="235"/>
      <c r="C296" s="235"/>
      <c r="D296" s="235"/>
      <c r="E296" s="357"/>
      <c r="F296" s="357"/>
      <c r="G296" s="417"/>
      <c r="H296" s="504"/>
      <c r="I296" s="504"/>
      <c r="J296" s="417"/>
      <c r="K296" s="417"/>
      <c r="L296" s="374"/>
      <c r="M296" s="353"/>
      <c r="N296" s="526"/>
      <c r="O296" s="1214"/>
      <c r="P296" s="353"/>
      <c r="Q296" s="353"/>
      <c r="R296" s="353"/>
      <c r="S296" s="1209"/>
      <c r="T296" s="1142"/>
      <c r="U296" s="1142"/>
      <c r="V296" s="1143"/>
      <c r="W296" s="1142"/>
      <c r="X296" s="1142"/>
      <c r="Y296" s="1143"/>
      <c r="Z296" s="1164"/>
      <c r="AA296" s="1165"/>
      <c r="AB296" s="1173"/>
      <c r="AC296" s="1164"/>
      <c r="AD296" s="1165"/>
      <c r="AE296" s="1142"/>
      <c r="AF296" s="1143"/>
      <c r="AG296" s="1142"/>
      <c r="AH296" s="1142"/>
      <c r="AI296" s="1143"/>
      <c r="AJ296" s="1138" t="str">
        <f t="shared" si="61"/>
        <v/>
      </c>
      <c r="AK296" s="1138" t="str">
        <f t="shared" si="62"/>
        <v/>
      </c>
      <c r="AL296" s="66"/>
    </row>
    <row r="297" spans="1:38" s="67" customFormat="1" ht="24" hidden="1" customHeight="1" x14ac:dyDescent="0.15">
      <c r="A297" s="160">
        <v>279</v>
      </c>
      <c r="B297" s="235"/>
      <c r="C297" s="235"/>
      <c r="D297" s="235"/>
      <c r="E297" s="357"/>
      <c r="F297" s="357"/>
      <c r="G297" s="417"/>
      <c r="H297" s="504"/>
      <c r="I297" s="504"/>
      <c r="J297" s="417"/>
      <c r="K297" s="417"/>
      <c r="L297" s="374"/>
      <c r="M297" s="353"/>
      <c r="N297" s="526"/>
      <c r="O297" s="1214"/>
      <c r="P297" s="353"/>
      <c r="Q297" s="353"/>
      <c r="R297" s="353"/>
      <c r="S297" s="1209"/>
      <c r="T297" s="1142"/>
      <c r="U297" s="1142"/>
      <c r="V297" s="1143"/>
      <c r="W297" s="1142"/>
      <c r="X297" s="1142"/>
      <c r="Y297" s="1143"/>
      <c r="Z297" s="1164"/>
      <c r="AA297" s="1165"/>
      <c r="AB297" s="1173"/>
      <c r="AC297" s="1164"/>
      <c r="AD297" s="1165"/>
      <c r="AE297" s="1142"/>
      <c r="AF297" s="1143"/>
      <c r="AG297" s="1142"/>
      <c r="AH297" s="1142"/>
      <c r="AI297" s="1143"/>
      <c r="AJ297" s="1138" t="str">
        <f t="shared" si="61"/>
        <v/>
      </c>
      <c r="AK297" s="1138" t="str">
        <f t="shared" si="62"/>
        <v/>
      </c>
      <c r="AL297" s="66"/>
    </row>
    <row r="298" spans="1:38" s="67" customFormat="1" ht="24" hidden="1" customHeight="1" x14ac:dyDescent="0.15">
      <c r="A298" s="160">
        <v>280</v>
      </c>
      <c r="B298" s="235"/>
      <c r="C298" s="235"/>
      <c r="D298" s="235"/>
      <c r="E298" s="357"/>
      <c r="F298" s="357"/>
      <c r="G298" s="417"/>
      <c r="H298" s="504"/>
      <c r="I298" s="504"/>
      <c r="J298" s="417"/>
      <c r="K298" s="417"/>
      <c r="L298" s="374"/>
      <c r="M298" s="353"/>
      <c r="N298" s="526"/>
      <c r="O298" s="1214"/>
      <c r="P298" s="353"/>
      <c r="Q298" s="353"/>
      <c r="R298" s="353"/>
      <c r="S298" s="1209"/>
      <c r="T298" s="1144" t="s">
        <v>37</v>
      </c>
      <c r="U298" s="1144">
        <f>COUNTIF(D279:D298,"철")</f>
        <v>0</v>
      </c>
      <c r="V298" s="1145">
        <f>COUNTIF(I279:I298,"철")</f>
        <v>0</v>
      </c>
      <c r="W298" s="1144" t="s">
        <v>26</v>
      </c>
      <c r="X298" s="1144">
        <f>SUMIF(D279:D298,"철",F279:F298)</f>
        <v>0</v>
      </c>
      <c r="Y298" s="1145">
        <f>SUMIF(I279:I298,"철",K279:K298)</f>
        <v>0</v>
      </c>
      <c r="Z298" s="1164">
        <f>COUNTIF(AJ279:AJ298,"철국")+COUNTIF(AJ279:AJ298,"철공")</f>
        <v>0</v>
      </c>
      <c r="AA298" s="1165">
        <f>COUNTIF(AK279:AK298,"철국")+COUNTIF(AK279:AK298,"철공")</f>
        <v>0</v>
      </c>
      <c r="AB298" s="1174" t="s">
        <v>26</v>
      </c>
      <c r="AC298" s="1164">
        <f>SUMIF(AJ279:AJ298,"철국",F279:F298)+SUMIF(AJ279:AJ298,"철공",F279:F298)</f>
        <v>0</v>
      </c>
      <c r="AD298" s="1165">
        <f>SUMIF(AK279:AK298,"철국",K279:K298)+SUMIF(AK279:AK298,"철공",K279:K298)</f>
        <v>0</v>
      </c>
      <c r="AE298" s="1144"/>
      <c r="AF298" s="1145"/>
      <c r="AG298" s="1144"/>
      <c r="AH298" s="1144"/>
      <c r="AI298" s="1145"/>
      <c r="AJ298" s="1138" t="str">
        <f t="shared" si="61"/>
        <v/>
      </c>
      <c r="AK298" s="1138" t="str">
        <f t="shared" si="62"/>
        <v/>
      </c>
      <c r="AL298" s="66"/>
    </row>
    <row r="299" spans="1:38" s="67" customFormat="1" ht="24" hidden="1" customHeight="1" thickBot="1" x14ac:dyDescent="0.2">
      <c r="A299" s="1215" t="s">
        <v>48</v>
      </c>
      <c r="B299" s="1216"/>
      <c r="C299" s="1216"/>
      <c r="D299" s="1216"/>
      <c r="E299" s="1217"/>
      <c r="F299" s="1148">
        <f>SUM(F279:F298)</f>
        <v>0</v>
      </c>
      <c r="G299" s="1218"/>
      <c r="H299" s="1219"/>
      <c r="I299" s="1219"/>
      <c r="J299" s="1218"/>
      <c r="K299" s="1202">
        <f>SUM(K279:K298)</f>
        <v>0</v>
      </c>
      <c r="L299" s="1220"/>
      <c r="M299" s="1221"/>
      <c r="N299" s="1222"/>
      <c r="O299" s="1223"/>
      <c r="P299" s="1221"/>
      <c r="Q299" s="1221"/>
      <c r="R299" s="1221"/>
      <c r="S299" s="1224"/>
      <c r="T299" s="1156" t="s">
        <v>24</v>
      </c>
      <c r="U299" s="1157">
        <f t="shared" ref="U299:AA299" si="63">SUM(U279:U298)</f>
        <v>0</v>
      </c>
      <c r="V299" s="1157">
        <f t="shared" si="63"/>
        <v>0</v>
      </c>
      <c r="W299" s="1157">
        <f t="shared" si="63"/>
        <v>0</v>
      </c>
      <c r="X299" s="1157">
        <f t="shared" si="63"/>
        <v>0</v>
      </c>
      <c r="Y299" s="1157">
        <f t="shared" si="63"/>
        <v>0</v>
      </c>
      <c r="Z299" s="1164">
        <f t="shared" si="63"/>
        <v>0</v>
      </c>
      <c r="AA299" s="1165">
        <f t="shared" si="63"/>
        <v>0</v>
      </c>
      <c r="AB299" s="1164" t="s">
        <v>26</v>
      </c>
      <c r="AC299" s="1164">
        <f>SUM(AC279:AC298)</f>
        <v>0</v>
      </c>
      <c r="AD299" s="1165">
        <f>SUM(AD279:AD298)</f>
        <v>0</v>
      </c>
      <c r="AE299" s="1157">
        <f>SUM(AE279:AE298)</f>
        <v>0</v>
      </c>
      <c r="AF299" s="1157">
        <f>SUM(AF279:AF298)</f>
        <v>0</v>
      </c>
      <c r="AG299" s="1157" t="s">
        <v>26</v>
      </c>
      <c r="AH299" s="1157">
        <f>SUM(AH279:AH298)</f>
        <v>0</v>
      </c>
      <c r="AI299" s="1157">
        <f>SUM(AI279:AI298)</f>
        <v>0</v>
      </c>
      <c r="AJ299" s="1157"/>
      <c r="AK299" s="1134"/>
      <c r="AL299" s="66"/>
    </row>
    <row r="300" spans="1:38" s="67" customFormat="1" ht="24" hidden="1" customHeight="1" x14ac:dyDescent="0.15">
      <c r="A300" s="159">
        <v>281</v>
      </c>
      <c r="B300" s="270"/>
      <c r="C300" s="270"/>
      <c r="D300" s="270"/>
      <c r="E300" s="369"/>
      <c r="F300" s="369"/>
      <c r="G300" s="488"/>
      <c r="H300" s="1225"/>
      <c r="I300" s="1225"/>
      <c r="J300" s="488"/>
      <c r="K300" s="488"/>
      <c r="L300" s="1226"/>
      <c r="M300" s="1210"/>
      <c r="N300" s="1227"/>
      <c r="O300" s="1228"/>
      <c r="P300" s="1210"/>
      <c r="Q300" s="1210"/>
      <c r="R300" s="1210"/>
      <c r="S300" s="1211"/>
      <c r="T300" s="1138" t="s">
        <v>27</v>
      </c>
      <c r="U300" s="1138">
        <f>COUNTIF(D300:D319,"전")</f>
        <v>0</v>
      </c>
      <c r="V300" s="1139">
        <f>COUNTIF(I300:I319,"전")</f>
        <v>0</v>
      </c>
      <c r="W300" s="1138" t="s">
        <v>26</v>
      </c>
      <c r="X300" s="1138">
        <f>SUMIF(D300:D319,"전",F300:F319)</f>
        <v>0</v>
      </c>
      <c r="Y300" s="1139">
        <f>SUMIF(I300:I319,"전",K300:K319)</f>
        <v>0</v>
      </c>
      <c r="Z300" s="1164">
        <f>COUNTIF(AJ300:AJ319,"전국")+COUNTIF(AJ300:AJ319,"전공")</f>
        <v>0</v>
      </c>
      <c r="AA300" s="1165">
        <f>COUNTIF(AK300:AK319,"전국")+COUNTIF(AK300:AK319,"전공")</f>
        <v>0</v>
      </c>
      <c r="AB300" s="1164" t="s">
        <v>26</v>
      </c>
      <c r="AC300" s="1164">
        <f>SUMIF(AJ300:AJ319,"전국",F300:F319)+SUMIF(AJ300:AJ319,"전공",F300:F319)</f>
        <v>0</v>
      </c>
      <c r="AD300" s="1165">
        <f>SUMIF(AK300:AK319,"전국",K300:K319)+SUMIF(AK300:AK319,"전공",K300:K319)</f>
        <v>0</v>
      </c>
      <c r="AE300" s="1138">
        <f t="shared" ref="AE300:AF316" si="64">U300-Z300</f>
        <v>0</v>
      </c>
      <c r="AF300" s="1139">
        <f t="shared" si="64"/>
        <v>0</v>
      </c>
      <c r="AG300" s="1138" t="s">
        <v>26</v>
      </c>
      <c r="AH300" s="1138">
        <f t="shared" ref="AH300:AI316" si="65">X300-AC300</f>
        <v>0</v>
      </c>
      <c r="AI300" s="1139">
        <f t="shared" si="65"/>
        <v>0</v>
      </c>
      <c r="AJ300" s="1138" t="str">
        <f t="shared" ref="AJ300:AJ319" si="66">CONCATENATE(D300,L300)</f>
        <v/>
      </c>
      <c r="AK300" s="1138" t="str">
        <f t="shared" ref="AK300:AK319" si="67">CONCATENATE(I300,L300)</f>
        <v/>
      </c>
    </row>
    <row r="301" spans="1:38" s="67" customFormat="1" ht="24" hidden="1" customHeight="1" x14ac:dyDescent="0.15">
      <c r="A301" s="160">
        <v>282</v>
      </c>
      <c r="B301" s="235"/>
      <c r="C301" s="235"/>
      <c r="D301" s="235"/>
      <c r="E301" s="357"/>
      <c r="F301" s="357"/>
      <c r="G301" s="417"/>
      <c r="H301" s="504"/>
      <c r="I301" s="504"/>
      <c r="J301" s="417"/>
      <c r="K301" s="417"/>
      <c r="L301" s="374"/>
      <c r="M301" s="353"/>
      <c r="N301" s="526"/>
      <c r="O301" s="1214"/>
      <c r="P301" s="353"/>
      <c r="Q301" s="353"/>
      <c r="R301" s="353"/>
      <c r="S301" s="1209"/>
      <c r="T301" s="1138" t="s">
        <v>28</v>
      </c>
      <c r="U301" s="1138">
        <f>COUNTIF(D300:D319,"답")</f>
        <v>0</v>
      </c>
      <c r="V301" s="1139">
        <f>COUNTIF(I300:I319,"답")</f>
        <v>0</v>
      </c>
      <c r="W301" s="1138" t="s">
        <v>26</v>
      </c>
      <c r="X301" s="1138">
        <f>SUMIF(D300:D319,"답",F300:F319)</f>
        <v>0</v>
      </c>
      <c r="Y301" s="1139">
        <f>SUMIF(I300:I319,"답",K300:K319)</f>
        <v>0</v>
      </c>
      <c r="Z301" s="1164">
        <f>COUNTIF(AJ300:AJ319,"답국")+COUNTIF(AJ300:AJ319,"답공")</f>
        <v>0</v>
      </c>
      <c r="AA301" s="1165">
        <f>COUNTIF(AK300:AK319,"답국")+COUNTIF(AK300:AK319,"답공")</f>
        <v>0</v>
      </c>
      <c r="AB301" s="1164" t="s">
        <v>26</v>
      </c>
      <c r="AC301" s="1164">
        <f>SUMIF(AJ300:AJ319,"답국",F300:F319)+SUMIF(AJ300:AJ319,"답공",F300:F319)</f>
        <v>0</v>
      </c>
      <c r="AD301" s="1165">
        <f>SUMIF(AK300:AK319,"답국",K300:K319)+SUMIF(AK300:AK319,"답공",K300:K319)</f>
        <v>0</v>
      </c>
      <c r="AE301" s="1138">
        <f t="shared" si="64"/>
        <v>0</v>
      </c>
      <c r="AF301" s="1139">
        <f t="shared" si="64"/>
        <v>0</v>
      </c>
      <c r="AG301" s="1138" t="s">
        <v>26</v>
      </c>
      <c r="AH301" s="1138">
        <f t="shared" si="65"/>
        <v>0</v>
      </c>
      <c r="AI301" s="1139">
        <f t="shared" si="65"/>
        <v>0</v>
      </c>
      <c r="AJ301" s="1138" t="str">
        <f t="shared" si="66"/>
        <v/>
      </c>
      <c r="AK301" s="1138" t="str">
        <f t="shared" si="67"/>
        <v/>
      </c>
    </row>
    <row r="302" spans="1:38" s="67" customFormat="1" ht="24" hidden="1" customHeight="1" x14ac:dyDescent="0.15">
      <c r="A302" s="160">
        <v>283</v>
      </c>
      <c r="B302" s="235"/>
      <c r="C302" s="235"/>
      <c r="D302" s="235"/>
      <c r="E302" s="357"/>
      <c r="F302" s="357"/>
      <c r="G302" s="417"/>
      <c r="H302" s="504"/>
      <c r="I302" s="504"/>
      <c r="J302" s="417"/>
      <c r="K302" s="417"/>
      <c r="L302" s="374"/>
      <c r="M302" s="353"/>
      <c r="N302" s="526"/>
      <c r="O302" s="1214"/>
      <c r="P302" s="353"/>
      <c r="Q302" s="353"/>
      <c r="R302" s="353"/>
      <c r="S302" s="1209"/>
      <c r="T302" s="1138" t="s">
        <v>44</v>
      </c>
      <c r="U302" s="1138">
        <f>COUNTIF(D300:D319,"임")</f>
        <v>0</v>
      </c>
      <c r="V302" s="1139">
        <f>COUNTIF(I300:I319,"임")</f>
        <v>0</v>
      </c>
      <c r="W302" s="1138" t="s">
        <v>26</v>
      </c>
      <c r="X302" s="1138">
        <f>SUMIF(D300:D319,"임",F300:F319)</f>
        <v>0</v>
      </c>
      <c r="Y302" s="1139">
        <f>SUMIF(I300:I319,"임",K300:K319)</f>
        <v>0</v>
      </c>
      <c r="Z302" s="1164">
        <f>COUNTIF(AJ300:AJ319,"임국")+COUNTIF(AJ300:AJ319,"임공")</f>
        <v>0</v>
      </c>
      <c r="AA302" s="1165">
        <f>COUNTIF(AK300:AK319,"임국")+COUNTIF(AK300:AK319,"임공")</f>
        <v>0</v>
      </c>
      <c r="AB302" s="1164" t="s">
        <v>26</v>
      </c>
      <c r="AC302" s="1164">
        <f>SUMIF(AJ300:AJ319,"임국",F300:F319)+SUMIF(AJ300:AJ319,"임공",F300:F319)</f>
        <v>0</v>
      </c>
      <c r="AD302" s="1165">
        <f>SUMIF(AK300:AK319,"임국",K300:K319)+SUMIF(AK300:AK319,"임공",K300:K319)</f>
        <v>0</v>
      </c>
      <c r="AE302" s="1138">
        <f t="shared" si="64"/>
        <v>0</v>
      </c>
      <c r="AF302" s="1139">
        <f t="shared" si="64"/>
        <v>0</v>
      </c>
      <c r="AG302" s="1138" t="s">
        <v>26</v>
      </c>
      <c r="AH302" s="1138">
        <f t="shared" si="65"/>
        <v>0</v>
      </c>
      <c r="AI302" s="1139">
        <f t="shared" si="65"/>
        <v>0</v>
      </c>
      <c r="AJ302" s="1138" t="str">
        <f t="shared" si="66"/>
        <v/>
      </c>
      <c r="AK302" s="1138" t="str">
        <f t="shared" si="67"/>
        <v/>
      </c>
    </row>
    <row r="303" spans="1:38" s="67" customFormat="1" ht="24" hidden="1" customHeight="1" x14ac:dyDescent="0.15">
      <c r="A303" s="160">
        <v>284</v>
      </c>
      <c r="B303" s="235"/>
      <c r="C303" s="235"/>
      <c r="D303" s="235"/>
      <c r="E303" s="357"/>
      <c r="F303" s="357"/>
      <c r="G303" s="417"/>
      <c r="H303" s="504"/>
      <c r="I303" s="504"/>
      <c r="J303" s="417"/>
      <c r="K303" s="417"/>
      <c r="L303" s="374"/>
      <c r="M303" s="353"/>
      <c r="N303" s="526"/>
      <c r="O303" s="1214"/>
      <c r="P303" s="353"/>
      <c r="Q303" s="353"/>
      <c r="R303" s="353"/>
      <c r="S303" s="1209"/>
      <c r="T303" s="1138" t="s">
        <v>45</v>
      </c>
      <c r="U303" s="1138">
        <f>COUNTIF(D300:D319,"대")</f>
        <v>0</v>
      </c>
      <c r="V303" s="1139">
        <f>COUNTIF(I300:I319,"대")</f>
        <v>0</v>
      </c>
      <c r="W303" s="1138" t="s">
        <v>26</v>
      </c>
      <c r="X303" s="1138">
        <f>SUMIF(D300:D319,"대",F300:F319)</f>
        <v>0</v>
      </c>
      <c r="Y303" s="1139">
        <f>SUMIF(I300:I319,"대",K300:K319)</f>
        <v>0</v>
      </c>
      <c r="Z303" s="1164">
        <f>COUNTIF(AJ300:AJ319,"대국")+COUNTIF(AJ300:AJ319,"대공")</f>
        <v>0</v>
      </c>
      <c r="AA303" s="1165">
        <f>COUNTIF(AK300:AK319,"대국")+COUNTIF(AK300:AK319,"대공")</f>
        <v>0</v>
      </c>
      <c r="AB303" s="1164" t="s">
        <v>26</v>
      </c>
      <c r="AC303" s="1164">
        <f>SUMIF(AJ300:AJ319,"대국",F300:F319)+SUMIF(AJ300:AJ319,"대공",F300:F319)</f>
        <v>0</v>
      </c>
      <c r="AD303" s="1165">
        <f>SUMIF(AK300:AK319,"대국",K300:K319)+SUMIF(AK300:AK319,"대공",K300:K319)</f>
        <v>0</v>
      </c>
      <c r="AE303" s="1138">
        <f t="shared" si="64"/>
        <v>0</v>
      </c>
      <c r="AF303" s="1139">
        <f t="shared" si="64"/>
        <v>0</v>
      </c>
      <c r="AG303" s="1138" t="s">
        <v>26</v>
      </c>
      <c r="AH303" s="1138">
        <f t="shared" si="65"/>
        <v>0</v>
      </c>
      <c r="AI303" s="1139">
        <f t="shared" si="65"/>
        <v>0</v>
      </c>
      <c r="AJ303" s="1138" t="str">
        <f t="shared" si="66"/>
        <v/>
      </c>
      <c r="AK303" s="1138" t="str">
        <f t="shared" si="67"/>
        <v/>
      </c>
    </row>
    <row r="304" spans="1:38" s="67" customFormat="1" ht="24" hidden="1" customHeight="1" x14ac:dyDescent="0.15">
      <c r="A304" s="160">
        <v>285</v>
      </c>
      <c r="B304" s="235"/>
      <c r="C304" s="235"/>
      <c r="D304" s="235"/>
      <c r="E304" s="357"/>
      <c r="F304" s="357"/>
      <c r="G304" s="417"/>
      <c r="H304" s="504"/>
      <c r="I304" s="504"/>
      <c r="J304" s="417"/>
      <c r="K304" s="417"/>
      <c r="L304" s="374"/>
      <c r="M304" s="353"/>
      <c r="N304" s="526"/>
      <c r="O304" s="1214"/>
      <c r="P304" s="353"/>
      <c r="Q304" s="353"/>
      <c r="R304" s="353"/>
      <c r="S304" s="1209"/>
      <c r="T304" s="1138" t="s">
        <v>31</v>
      </c>
      <c r="U304" s="1138">
        <f>COUNTIF(D300:D319,"도")</f>
        <v>0</v>
      </c>
      <c r="V304" s="1139">
        <f>COUNTIF(I300:I319,"도")</f>
        <v>0</v>
      </c>
      <c r="W304" s="1138" t="s">
        <v>26</v>
      </c>
      <c r="X304" s="1138">
        <f>SUMIF(D300:D319,"도",F300:F319)</f>
        <v>0</v>
      </c>
      <c r="Y304" s="1139">
        <f>SUMIF(I300:I319,"도",K300:K319)</f>
        <v>0</v>
      </c>
      <c r="Z304" s="1164">
        <f>COUNTIF(AJ300:AJ319,"도국")+COUNTIF(AJ300:AJ319,"도공")</f>
        <v>0</v>
      </c>
      <c r="AA304" s="1165">
        <f>COUNTIF(AK300:AK319,"도국")+COUNTIF(AK300:AK319,"도공")</f>
        <v>0</v>
      </c>
      <c r="AB304" s="1164" t="s">
        <v>26</v>
      </c>
      <c r="AC304" s="1164">
        <f>SUMIF(AJ300:AJ319,"도국",F300:F319)+SUMIF(AJ300:AJ319,"도공",F300:F319)</f>
        <v>0</v>
      </c>
      <c r="AD304" s="1165">
        <f>SUMIF(AK300:AK319,"도국",K300:K319)+SUMIF(AK300:AK319,"도공",K300:K319)</f>
        <v>0</v>
      </c>
      <c r="AE304" s="1138">
        <f t="shared" si="64"/>
        <v>0</v>
      </c>
      <c r="AF304" s="1139">
        <f t="shared" si="64"/>
        <v>0</v>
      </c>
      <c r="AG304" s="1138" t="s">
        <v>26</v>
      </c>
      <c r="AH304" s="1138">
        <f t="shared" si="65"/>
        <v>0</v>
      </c>
      <c r="AI304" s="1139">
        <f t="shared" si="65"/>
        <v>0</v>
      </c>
      <c r="AJ304" s="1138" t="str">
        <f t="shared" si="66"/>
        <v/>
      </c>
      <c r="AK304" s="1138" t="str">
        <f t="shared" si="67"/>
        <v/>
      </c>
    </row>
    <row r="305" spans="1:38" s="67" customFormat="1" ht="24" hidden="1" customHeight="1" x14ac:dyDescent="0.15">
      <c r="A305" s="160">
        <v>286</v>
      </c>
      <c r="B305" s="235"/>
      <c r="C305" s="235"/>
      <c r="D305" s="235"/>
      <c r="E305" s="357"/>
      <c r="F305" s="357"/>
      <c r="G305" s="417"/>
      <c r="H305" s="504"/>
      <c r="I305" s="504"/>
      <c r="J305" s="417"/>
      <c r="K305" s="417"/>
      <c r="L305" s="374"/>
      <c r="M305" s="1229"/>
      <c r="N305" s="526"/>
      <c r="O305" s="1230"/>
      <c r="P305" s="353"/>
      <c r="Q305" s="353"/>
      <c r="R305" s="353"/>
      <c r="S305" s="1209"/>
      <c r="T305" s="1138" t="s">
        <v>32</v>
      </c>
      <c r="U305" s="1140">
        <f>COUNTIF(D300:D319,"천")</f>
        <v>0</v>
      </c>
      <c r="V305" s="1141">
        <f>COUNTIF(I300:I319,"천")</f>
        <v>0</v>
      </c>
      <c r="W305" s="1138" t="s">
        <v>26</v>
      </c>
      <c r="X305" s="1138">
        <f>SUMIF(D300:D319,"천",F300:F319)</f>
        <v>0</v>
      </c>
      <c r="Y305" s="1139">
        <f>SUMIF(I300:I319,"천",K300:K319)</f>
        <v>0</v>
      </c>
      <c r="Z305" s="1164">
        <f>COUNTIF(AJ300:AJ319,"천국")+COUNTIF(AJ300:AJ319,"천공")</f>
        <v>0</v>
      </c>
      <c r="AA305" s="1165">
        <f>COUNTIF(AK300:AK319,"천국")+COUNTIF(AK300:AK319,"천공")</f>
        <v>0</v>
      </c>
      <c r="AB305" s="1164" t="s">
        <v>26</v>
      </c>
      <c r="AC305" s="1164">
        <f>SUMIF(AJ300:AJ319,"천국",F300:F319)+SUMIF(AJ300:AJ319,"천공",F300:F319)</f>
        <v>0</v>
      </c>
      <c r="AD305" s="1165">
        <f>SUMIF(AK300:AK319,"천국",K300:K319)+SUMIF(AK300:AK319,"천공",K300:K319)</f>
        <v>0</v>
      </c>
      <c r="AE305" s="1138">
        <f t="shared" si="64"/>
        <v>0</v>
      </c>
      <c r="AF305" s="1139">
        <f t="shared" si="64"/>
        <v>0</v>
      </c>
      <c r="AG305" s="1138" t="s">
        <v>26</v>
      </c>
      <c r="AH305" s="1138">
        <f t="shared" si="65"/>
        <v>0</v>
      </c>
      <c r="AI305" s="1139">
        <f t="shared" si="65"/>
        <v>0</v>
      </c>
      <c r="AJ305" s="1138" t="str">
        <f t="shared" si="66"/>
        <v/>
      </c>
      <c r="AK305" s="1138" t="str">
        <f t="shared" si="67"/>
        <v/>
      </c>
    </row>
    <row r="306" spans="1:38" s="67" customFormat="1" ht="24" hidden="1" customHeight="1" x14ac:dyDescent="0.15">
      <c r="A306" s="160">
        <v>287</v>
      </c>
      <c r="B306" s="235"/>
      <c r="C306" s="235"/>
      <c r="D306" s="235"/>
      <c r="E306" s="357"/>
      <c r="F306" s="357"/>
      <c r="G306" s="417"/>
      <c r="H306" s="504"/>
      <c r="I306" s="504"/>
      <c r="J306" s="417"/>
      <c r="K306" s="417"/>
      <c r="L306" s="374"/>
      <c r="M306" s="353"/>
      <c r="N306" s="526"/>
      <c r="O306" s="1230"/>
      <c r="P306" s="353"/>
      <c r="Q306" s="353"/>
      <c r="R306" s="353"/>
      <c r="S306" s="1209"/>
      <c r="T306" s="1138" t="s">
        <v>33</v>
      </c>
      <c r="U306" s="1138">
        <f>COUNTIF(D300:D319,"구")</f>
        <v>0</v>
      </c>
      <c r="V306" s="1139">
        <f>COUNTIF(I300:I319,"구")</f>
        <v>0</v>
      </c>
      <c r="W306" s="1138" t="s">
        <v>26</v>
      </c>
      <c r="X306" s="1138">
        <f>SUMIF(D300:D319,"구",F300:F319)</f>
        <v>0</v>
      </c>
      <c r="Y306" s="1139">
        <f>SUMIF(I300:I319,"구",K300:K319)</f>
        <v>0</v>
      </c>
      <c r="Z306" s="1164">
        <f>COUNTIF(AJ300:AJ319,"구국")+COUNTIF(AJ300:AJ319,"구공")</f>
        <v>0</v>
      </c>
      <c r="AA306" s="1165">
        <f>COUNTIF(AK300:AK319,"구국")+COUNTIF(AK300:AK319,"구공")</f>
        <v>0</v>
      </c>
      <c r="AB306" s="1164" t="s">
        <v>26</v>
      </c>
      <c r="AC306" s="1164">
        <f>SUMIF(AJ300:AJ319,"구국",F300:F319)+SUMIF(AJ300:AJ319,"구공",F300:F319)</f>
        <v>0</v>
      </c>
      <c r="AD306" s="1165">
        <f>SUMIF(AK300:AK319,"구국",K300:K319)+SUMIF(AK300:AK319,"구공",K300:K319)</f>
        <v>0</v>
      </c>
      <c r="AE306" s="1138">
        <f t="shared" si="64"/>
        <v>0</v>
      </c>
      <c r="AF306" s="1139">
        <f t="shared" si="64"/>
        <v>0</v>
      </c>
      <c r="AG306" s="1138" t="s">
        <v>26</v>
      </c>
      <c r="AH306" s="1138">
        <f t="shared" si="65"/>
        <v>0</v>
      </c>
      <c r="AI306" s="1139">
        <f t="shared" si="65"/>
        <v>0</v>
      </c>
      <c r="AJ306" s="1138" t="str">
        <f t="shared" si="66"/>
        <v/>
      </c>
      <c r="AK306" s="1138" t="str">
        <f t="shared" si="67"/>
        <v/>
      </c>
    </row>
    <row r="307" spans="1:38" s="67" customFormat="1" ht="24" hidden="1" customHeight="1" x14ac:dyDescent="0.15">
      <c r="A307" s="160">
        <v>288</v>
      </c>
      <c r="B307" s="235"/>
      <c r="C307" s="235"/>
      <c r="D307" s="235"/>
      <c r="E307" s="357"/>
      <c r="F307" s="357"/>
      <c r="G307" s="417"/>
      <c r="H307" s="504"/>
      <c r="I307" s="504"/>
      <c r="J307" s="417"/>
      <c r="K307" s="417"/>
      <c r="L307" s="374"/>
      <c r="M307" s="353"/>
      <c r="N307" s="526"/>
      <c r="O307" s="1230"/>
      <c r="P307" s="353"/>
      <c r="Q307" s="353"/>
      <c r="R307" s="353"/>
      <c r="S307" s="1209"/>
      <c r="T307" s="1138" t="s">
        <v>34</v>
      </c>
      <c r="U307" s="1138">
        <f>COUNTIF(D300:D319,"제")</f>
        <v>0</v>
      </c>
      <c r="V307" s="1139">
        <f>COUNTIF(I300:I319,"제")</f>
        <v>0</v>
      </c>
      <c r="W307" s="1138" t="s">
        <v>26</v>
      </c>
      <c r="X307" s="1138">
        <f>SUMIF(D300:D319,"제",F300:F319)</f>
        <v>0</v>
      </c>
      <c r="Y307" s="1139">
        <f>SUMIF(I300:I319,"제",K300:K319)</f>
        <v>0</v>
      </c>
      <c r="Z307" s="1164">
        <f>COUNTIF(AJ300:AJ319,"제국")+COUNTIF(AJ300:AJ319,"제공")</f>
        <v>0</v>
      </c>
      <c r="AA307" s="1165">
        <f>COUNTIF(AK300:AK319,"제국")+COUNTIF(AK300:AK319,"제공")</f>
        <v>0</v>
      </c>
      <c r="AB307" s="1164" t="s">
        <v>26</v>
      </c>
      <c r="AC307" s="1164">
        <f>SUMIF(AJ300:AJ319,"제국",F300:F319)+SUMIF(AJ300:AJ319,"제공",F300:F319)</f>
        <v>0</v>
      </c>
      <c r="AD307" s="1165">
        <f>SUMIF(AK300:AK319,"제국",K300:K319)+SUMIF(AK300:AK319,"제공",K300:K319)</f>
        <v>0</v>
      </c>
      <c r="AE307" s="1138">
        <f t="shared" si="64"/>
        <v>0</v>
      </c>
      <c r="AF307" s="1139">
        <f t="shared" si="64"/>
        <v>0</v>
      </c>
      <c r="AG307" s="1138" t="s">
        <v>26</v>
      </c>
      <c r="AH307" s="1138">
        <f t="shared" si="65"/>
        <v>0</v>
      </c>
      <c r="AI307" s="1139">
        <f t="shared" si="65"/>
        <v>0</v>
      </c>
      <c r="AJ307" s="1138" t="str">
        <f t="shared" si="66"/>
        <v/>
      </c>
      <c r="AK307" s="1138" t="str">
        <f t="shared" si="67"/>
        <v/>
      </c>
    </row>
    <row r="308" spans="1:38" s="67" customFormat="1" ht="24" hidden="1" customHeight="1" x14ac:dyDescent="0.15">
      <c r="A308" s="160">
        <v>289</v>
      </c>
      <c r="B308" s="235"/>
      <c r="C308" s="235"/>
      <c r="D308" s="235"/>
      <c r="E308" s="357"/>
      <c r="F308" s="357"/>
      <c r="G308" s="417"/>
      <c r="H308" s="504"/>
      <c r="I308" s="504"/>
      <c r="J308" s="417"/>
      <c r="K308" s="417"/>
      <c r="L308" s="374"/>
      <c r="M308" s="353"/>
      <c r="N308" s="526"/>
      <c r="O308" s="1214"/>
      <c r="P308" s="353"/>
      <c r="Q308" s="353"/>
      <c r="R308" s="353"/>
      <c r="S308" s="1209"/>
      <c r="T308" s="1138" t="s">
        <v>46</v>
      </c>
      <c r="U308" s="1138">
        <f>COUNTIF(D300:D319,"유")</f>
        <v>0</v>
      </c>
      <c r="V308" s="1139">
        <f>COUNTIF(I300:I319,"유")</f>
        <v>0</v>
      </c>
      <c r="W308" s="1138" t="s">
        <v>26</v>
      </c>
      <c r="X308" s="1138">
        <f>SUMIF(D300:D319,"유",F300:F319)</f>
        <v>0</v>
      </c>
      <c r="Y308" s="1139">
        <f>SUMIF(I300:I319,"유",K300:K319)</f>
        <v>0</v>
      </c>
      <c r="Z308" s="1164">
        <f>COUNTIF(AJ300:AJ319,"유국")+COUNTIF(AJ300:AJ319,"유공")</f>
        <v>0</v>
      </c>
      <c r="AA308" s="1165">
        <f>COUNTIF(AK300:AK319,"유국")+COUNTIF(AK300:AK319,"유공")</f>
        <v>0</v>
      </c>
      <c r="AB308" s="1164" t="s">
        <v>26</v>
      </c>
      <c r="AC308" s="1164">
        <f>SUMIF(AJ300:AJ319,"유국",F300:F319)+SUMIF(AJ300:AJ319,"유공",F300:F319)</f>
        <v>0</v>
      </c>
      <c r="AD308" s="1165">
        <f>SUMIF(AK300:AK319,"유국",K300:K319)+SUMIF(AK300:AK319,"유공",K300:K319)</f>
        <v>0</v>
      </c>
      <c r="AE308" s="1138">
        <f t="shared" si="64"/>
        <v>0</v>
      </c>
      <c r="AF308" s="1139">
        <f t="shared" si="64"/>
        <v>0</v>
      </c>
      <c r="AG308" s="1138" t="s">
        <v>26</v>
      </c>
      <c r="AH308" s="1138">
        <f t="shared" si="65"/>
        <v>0</v>
      </c>
      <c r="AI308" s="1139">
        <f t="shared" si="65"/>
        <v>0</v>
      </c>
      <c r="AJ308" s="1138" t="str">
        <f t="shared" si="66"/>
        <v/>
      </c>
      <c r="AK308" s="1138" t="str">
        <f t="shared" si="67"/>
        <v/>
      </c>
    </row>
    <row r="309" spans="1:38" s="67" customFormat="1" ht="24" hidden="1" customHeight="1" x14ac:dyDescent="0.15">
      <c r="A309" s="160">
        <v>290</v>
      </c>
      <c r="B309" s="235"/>
      <c r="C309" s="235"/>
      <c r="D309" s="235"/>
      <c r="E309" s="357"/>
      <c r="F309" s="357"/>
      <c r="G309" s="417"/>
      <c r="H309" s="504"/>
      <c r="I309" s="504"/>
      <c r="J309" s="417"/>
      <c r="K309" s="417"/>
      <c r="L309" s="374"/>
      <c r="M309" s="353"/>
      <c r="N309" s="526"/>
      <c r="O309" s="1214"/>
      <c r="P309" s="353"/>
      <c r="Q309" s="353"/>
      <c r="R309" s="353"/>
      <c r="S309" s="1209"/>
      <c r="T309" s="1138" t="s">
        <v>47</v>
      </c>
      <c r="U309" s="1138">
        <f>COUNTIF(D300:D319,"과")</f>
        <v>0</v>
      </c>
      <c r="V309" s="1139">
        <f>COUNTIF(I300:I319,"과")</f>
        <v>0</v>
      </c>
      <c r="W309" s="1138" t="s">
        <v>26</v>
      </c>
      <c r="X309" s="1138">
        <f>SUMIF(D300:D319,"과",F300:F319)</f>
        <v>0</v>
      </c>
      <c r="Y309" s="1139">
        <f>SUMIF(I300:I319,"과",K300:K319)</f>
        <v>0</v>
      </c>
      <c r="Z309" s="1164">
        <f>COUNTIF(AJ300:AJ319,"과국")+COUNTIF(AJ300:AJ319,"과공")</f>
        <v>0</v>
      </c>
      <c r="AA309" s="1165">
        <f>COUNTIF(AK300:AK319,"과국")+COUNTIF(AK300:AK319,"과공")</f>
        <v>0</v>
      </c>
      <c r="AB309" s="1164" t="s">
        <v>26</v>
      </c>
      <c r="AC309" s="1164">
        <f>SUMIF(AJ300:AJ319,"과국",F300:F319)+SUMIF(AJ300:AJ319,"과공",F300:F319)</f>
        <v>0</v>
      </c>
      <c r="AD309" s="1165">
        <f>SUMIF(AK300:AK319,"과국",K300:K319)+SUMIF(AK300:AK319,"과공",K300:K319)</f>
        <v>0</v>
      </c>
      <c r="AE309" s="1138">
        <f t="shared" si="64"/>
        <v>0</v>
      </c>
      <c r="AF309" s="1139">
        <f t="shared" si="64"/>
        <v>0</v>
      </c>
      <c r="AG309" s="1138" t="s">
        <v>26</v>
      </c>
      <c r="AH309" s="1138">
        <f t="shared" si="65"/>
        <v>0</v>
      </c>
      <c r="AI309" s="1139">
        <f t="shared" si="65"/>
        <v>0</v>
      </c>
      <c r="AJ309" s="1138" t="str">
        <f t="shared" si="66"/>
        <v/>
      </c>
      <c r="AK309" s="1138" t="str">
        <f t="shared" si="67"/>
        <v/>
      </c>
    </row>
    <row r="310" spans="1:38" s="67" customFormat="1" ht="24" hidden="1" customHeight="1" x14ac:dyDescent="0.15">
      <c r="A310" s="160">
        <v>291</v>
      </c>
      <c r="B310" s="235"/>
      <c r="C310" s="235"/>
      <c r="D310" s="235"/>
      <c r="E310" s="357"/>
      <c r="F310" s="357"/>
      <c r="G310" s="417"/>
      <c r="H310" s="504"/>
      <c r="I310" s="504"/>
      <c r="J310" s="417"/>
      <c r="K310" s="417"/>
      <c r="L310" s="374"/>
      <c r="M310" s="353"/>
      <c r="N310" s="526"/>
      <c r="O310" s="1214"/>
      <c r="P310" s="353"/>
      <c r="Q310" s="353"/>
      <c r="R310" s="353"/>
      <c r="S310" s="1209"/>
      <c r="T310" s="1138" t="s">
        <v>36</v>
      </c>
      <c r="U310" s="1138">
        <f>COUNTIF(D300:D319,"묘")</f>
        <v>0</v>
      </c>
      <c r="V310" s="1139">
        <f>COUNTIF(I300:I319,"묘")</f>
        <v>0</v>
      </c>
      <c r="W310" s="1138" t="s">
        <v>26</v>
      </c>
      <c r="X310" s="1138">
        <f>SUMIF(D300:D319,"묘",F300:F319)</f>
        <v>0</v>
      </c>
      <c r="Y310" s="1139">
        <f>SUMIF(I300:I319,"묘",K300:K319)</f>
        <v>0</v>
      </c>
      <c r="Z310" s="1164">
        <f>COUNTIF(AJ300:AJ319,"묘국")+COUNTIF(AJ300:AJ319,"묘공")</f>
        <v>0</v>
      </c>
      <c r="AA310" s="1165">
        <f>COUNTIF(AK300:AK319,"묘국")+COUNTIF(AK300:AK319,"묘공")</f>
        <v>0</v>
      </c>
      <c r="AB310" s="1164" t="s">
        <v>26</v>
      </c>
      <c r="AC310" s="1164">
        <f>SUMIF(AJ300:AJ319,"묘국",F300:F319)+SUMIF(AJ300:AJ319,"묘공",F300:F319)</f>
        <v>0</v>
      </c>
      <c r="AD310" s="1165">
        <f>SUMIF(AK300:AK319,"묘국",K300:K319)+SUMIF(AK300:AK319,"묘공",K300:K319)</f>
        <v>0</v>
      </c>
      <c r="AE310" s="1138">
        <f t="shared" si="64"/>
        <v>0</v>
      </c>
      <c r="AF310" s="1139">
        <f t="shared" si="64"/>
        <v>0</v>
      </c>
      <c r="AG310" s="1138" t="s">
        <v>26</v>
      </c>
      <c r="AH310" s="1138">
        <f t="shared" si="65"/>
        <v>0</v>
      </c>
      <c r="AI310" s="1139">
        <f t="shared" si="65"/>
        <v>0</v>
      </c>
      <c r="AJ310" s="1138" t="str">
        <f t="shared" si="66"/>
        <v/>
      </c>
      <c r="AK310" s="1138" t="str">
        <f t="shared" si="67"/>
        <v/>
      </c>
    </row>
    <row r="311" spans="1:38" ht="24" hidden="1" customHeight="1" x14ac:dyDescent="0.15">
      <c r="A311" s="160">
        <v>292</v>
      </c>
      <c r="B311" s="235"/>
      <c r="C311" s="235"/>
      <c r="D311" s="235"/>
      <c r="E311" s="357"/>
      <c r="F311" s="357"/>
      <c r="G311" s="417"/>
      <c r="H311" s="504"/>
      <c r="I311" s="504"/>
      <c r="J311" s="417"/>
      <c r="K311" s="417"/>
      <c r="L311" s="374"/>
      <c r="M311" s="353"/>
      <c r="N311" s="526"/>
      <c r="O311" s="1214"/>
      <c r="P311" s="1231"/>
      <c r="Q311" s="1231"/>
      <c r="R311" s="1231"/>
      <c r="S311" s="1232"/>
      <c r="T311" s="1138" t="s">
        <v>39</v>
      </c>
      <c r="U311" s="1138">
        <f>COUNTIF(D300:D319,"수")</f>
        <v>0</v>
      </c>
      <c r="V311" s="1139">
        <f>COUNTIF(I300:I319,"수")</f>
        <v>0</v>
      </c>
      <c r="W311" s="1138" t="s">
        <v>26</v>
      </c>
      <c r="X311" s="1138">
        <f>SUMIF(D300:D319,"수",F300:F319)</f>
        <v>0</v>
      </c>
      <c r="Y311" s="1139">
        <f>SUMIF(I300:I319,"수",K300:K319)</f>
        <v>0</v>
      </c>
      <c r="Z311" s="1164">
        <f>COUNTIF(AJ300:AJ319,"수국")+COUNTIF(AJ300:AJ319,"수공")</f>
        <v>0</v>
      </c>
      <c r="AA311" s="1165">
        <f>COUNTIF(AK300:AK319,"수국")+COUNTIF(AK300:AK319,"수공")</f>
        <v>0</v>
      </c>
      <c r="AB311" s="1164" t="s">
        <v>26</v>
      </c>
      <c r="AC311" s="1164">
        <f>SUMIF(AJ300:AJ319,"수국",F300:F319)+SUMIF(AJ300:AJ319,"수공",F300:F319)</f>
        <v>0</v>
      </c>
      <c r="AD311" s="1165">
        <f>SUMIF(AK300:AK319,"수국",K300:K319)+SUMIF(AK300:AK319,"수공",K300:K319)</f>
        <v>0</v>
      </c>
      <c r="AE311" s="1138">
        <f t="shared" si="64"/>
        <v>0</v>
      </c>
      <c r="AF311" s="1139">
        <f t="shared" si="64"/>
        <v>0</v>
      </c>
      <c r="AG311" s="1138" t="s">
        <v>26</v>
      </c>
      <c r="AH311" s="1138">
        <f t="shared" si="65"/>
        <v>0</v>
      </c>
      <c r="AI311" s="1139">
        <f t="shared" si="65"/>
        <v>0</v>
      </c>
      <c r="AJ311" s="1138" t="str">
        <f t="shared" si="66"/>
        <v/>
      </c>
      <c r="AK311" s="1138" t="str">
        <f t="shared" si="67"/>
        <v/>
      </c>
    </row>
    <row r="312" spans="1:38" ht="24" hidden="1" customHeight="1" x14ac:dyDescent="0.15">
      <c r="A312" s="160">
        <v>293</v>
      </c>
      <c r="B312" s="235"/>
      <c r="C312" s="235"/>
      <c r="D312" s="235"/>
      <c r="E312" s="357"/>
      <c r="F312" s="357"/>
      <c r="G312" s="417"/>
      <c r="H312" s="504"/>
      <c r="I312" s="504"/>
      <c r="J312" s="417"/>
      <c r="K312" s="417"/>
      <c r="L312" s="374"/>
      <c r="M312" s="353"/>
      <c r="N312" s="526"/>
      <c r="O312" s="1214"/>
      <c r="P312" s="1231"/>
      <c r="Q312" s="1231"/>
      <c r="R312" s="1231"/>
      <c r="S312" s="1232"/>
      <c r="T312" s="1138" t="s">
        <v>35</v>
      </c>
      <c r="U312" s="1138">
        <f>COUNTIF(D300:D319,"잡")</f>
        <v>0</v>
      </c>
      <c r="V312" s="1139">
        <f>COUNTIF(I300:I319,"잡")</f>
        <v>0</v>
      </c>
      <c r="W312" s="1138" t="s">
        <v>26</v>
      </c>
      <c r="X312" s="1138">
        <f>SUMIF(D300:D319,"잡",F300:F319)</f>
        <v>0</v>
      </c>
      <c r="Y312" s="1139">
        <f>SUMIF(I300:I319,"잡",K300:K319)</f>
        <v>0</v>
      </c>
      <c r="Z312" s="1164">
        <f>COUNTIF(AJ300:AJ319,"잡국")+COUNTIF(AJ300:AJ319,"잡공")</f>
        <v>0</v>
      </c>
      <c r="AA312" s="1165">
        <f>COUNTIF(AK300:AK319,"잡국")+COUNTIF(AK300:AK319,"잡공")</f>
        <v>0</v>
      </c>
      <c r="AB312" s="1164" t="s">
        <v>26</v>
      </c>
      <c r="AC312" s="1164">
        <f>SUMIF(AJ300:AJ319,"잡국",F300:F319)+SUMIF(AJ300:AJ319,"잡공",F300:F319)</f>
        <v>0</v>
      </c>
      <c r="AD312" s="1165">
        <f>SUMIF(AK300:AK319,"잡국",K300:K319)+SUMIF(AK300:AK319,"잡공",K300:K319)</f>
        <v>0</v>
      </c>
      <c r="AE312" s="1138">
        <f t="shared" si="64"/>
        <v>0</v>
      </c>
      <c r="AF312" s="1139">
        <f t="shared" si="64"/>
        <v>0</v>
      </c>
      <c r="AG312" s="1138" t="s">
        <v>26</v>
      </c>
      <c r="AH312" s="1138">
        <f t="shared" si="65"/>
        <v>0</v>
      </c>
      <c r="AI312" s="1139">
        <f t="shared" si="65"/>
        <v>0</v>
      </c>
      <c r="AJ312" s="1138" t="str">
        <f t="shared" si="66"/>
        <v/>
      </c>
      <c r="AK312" s="1138" t="str">
        <f t="shared" si="67"/>
        <v/>
      </c>
    </row>
    <row r="313" spans="1:38" ht="24" hidden="1" customHeight="1" x14ac:dyDescent="0.15">
      <c r="A313" s="160">
        <v>294</v>
      </c>
      <c r="B313" s="235"/>
      <c r="C313" s="235"/>
      <c r="D313" s="235"/>
      <c r="E313" s="357"/>
      <c r="F313" s="357"/>
      <c r="G313" s="417"/>
      <c r="H313" s="504"/>
      <c r="I313" s="504"/>
      <c r="J313" s="417"/>
      <c r="K313" s="417"/>
      <c r="L313" s="374"/>
      <c r="M313" s="353"/>
      <c r="N313" s="526"/>
      <c r="O313" s="1214"/>
      <c r="P313" s="1231"/>
      <c r="Q313" s="1231"/>
      <c r="R313" s="1231"/>
      <c r="S313" s="1232"/>
      <c r="T313" s="1138" t="s">
        <v>221</v>
      </c>
      <c r="U313" s="1138">
        <f>COUNTIF(D300:D319,"창")</f>
        <v>0</v>
      </c>
      <c r="V313" s="1139">
        <f>COUNTIF(I300:I319,"창")</f>
        <v>0</v>
      </c>
      <c r="W313" s="1138" t="s">
        <v>26</v>
      </c>
      <c r="X313" s="1138">
        <f>SUMIF(D300:D319,"창",F300:F319)</f>
        <v>0</v>
      </c>
      <c r="Y313" s="1139">
        <f>SUMIF(I300:I319,"창",K300:K319)</f>
        <v>0</v>
      </c>
      <c r="Z313" s="1164">
        <f>COUNTIF(AJ300:AJ319,"창국")+COUNTIF(AJ300:AJ319,"창공")</f>
        <v>0</v>
      </c>
      <c r="AA313" s="1165">
        <f>COUNTIF(AK300:AK319,"창국")+COUNTIF(AK300:AK319,"창공")</f>
        <v>0</v>
      </c>
      <c r="AB313" s="1164" t="s">
        <v>26</v>
      </c>
      <c r="AC313" s="1164">
        <f>SUMIF(AJ300:AJ319,"창국",F300:F319)+SUMIF(AJ300:AJ319,"창공",F300:F319)</f>
        <v>0</v>
      </c>
      <c r="AD313" s="1165">
        <f>SUMIF(AK300:AK319,"창국",K300:K319)+SUMIF(AK300:AK319,"창공",K300:K319)</f>
        <v>0</v>
      </c>
      <c r="AE313" s="1138">
        <f t="shared" si="64"/>
        <v>0</v>
      </c>
      <c r="AF313" s="1139">
        <f t="shared" si="64"/>
        <v>0</v>
      </c>
      <c r="AG313" s="1138" t="s">
        <v>26</v>
      </c>
      <c r="AH313" s="1138">
        <f t="shared" si="65"/>
        <v>0</v>
      </c>
      <c r="AI313" s="1139">
        <f t="shared" si="65"/>
        <v>0</v>
      </c>
      <c r="AJ313" s="1138" t="str">
        <f t="shared" si="66"/>
        <v/>
      </c>
      <c r="AK313" s="1138" t="str">
        <f t="shared" si="67"/>
        <v/>
      </c>
    </row>
    <row r="314" spans="1:38" ht="24" hidden="1" customHeight="1" x14ac:dyDescent="0.15">
      <c r="A314" s="160">
        <v>295</v>
      </c>
      <c r="B314" s="235"/>
      <c r="C314" s="235"/>
      <c r="D314" s="235"/>
      <c r="E314" s="357"/>
      <c r="F314" s="357"/>
      <c r="G314" s="417"/>
      <c r="H314" s="504"/>
      <c r="I314" s="504"/>
      <c r="J314" s="417"/>
      <c r="K314" s="417"/>
      <c r="L314" s="374"/>
      <c r="M314" s="353"/>
      <c r="N314" s="526"/>
      <c r="O314" s="1214"/>
      <c r="P314" s="1231"/>
      <c r="Q314" s="1231"/>
      <c r="R314" s="1231"/>
      <c r="S314" s="1232"/>
      <c r="T314" s="1138" t="s">
        <v>50</v>
      </c>
      <c r="U314" s="1138">
        <f>COUNTIF(D300:D319,"공")</f>
        <v>0</v>
      </c>
      <c r="V314" s="1139">
        <f>COUNTIF(I300:I319,"공")</f>
        <v>0</v>
      </c>
      <c r="W314" s="1138" t="s">
        <v>26</v>
      </c>
      <c r="X314" s="1138">
        <f>SUMIF(D300:D319,"공",F300:F319)</f>
        <v>0</v>
      </c>
      <c r="Y314" s="1139">
        <f>SUMIF(I300:I319,"공",K300:K319)</f>
        <v>0</v>
      </c>
      <c r="Z314" s="1164">
        <f>COUNTIF(AJ300:AJ319,"공국")+COUNTIF(AJ300:AJ319,"공공")</f>
        <v>0</v>
      </c>
      <c r="AA314" s="1165">
        <f>COUNTIF(AK300:AK319,"공국")+COUNTIF(AK300:AK319,"공공")</f>
        <v>0</v>
      </c>
      <c r="AB314" s="1164" t="s">
        <v>26</v>
      </c>
      <c r="AC314" s="1164">
        <f>SUMIF(AJ300:AJ319,"공국",F300:F319)+SUMIF(AJ300:AJ319,"공공",F300:F319)</f>
        <v>0</v>
      </c>
      <c r="AD314" s="1165">
        <f>SUMIF(AK300:AK319,"공국",K300:K319)+SUMIF(AK300:AK319,"공공",K300:K319)</f>
        <v>0</v>
      </c>
      <c r="AE314" s="1138">
        <f t="shared" si="64"/>
        <v>0</v>
      </c>
      <c r="AF314" s="1139">
        <f t="shared" si="64"/>
        <v>0</v>
      </c>
      <c r="AG314" s="1138" t="s">
        <v>26</v>
      </c>
      <c r="AH314" s="1138">
        <f t="shared" si="65"/>
        <v>0</v>
      </c>
      <c r="AI314" s="1139">
        <f t="shared" si="65"/>
        <v>0</v>
      </c>
      <c r="AJ314" s="1138" t="str">
        <f t="shared" si="66"/>
        <v/>
      </c>
      <c r="AK314" s="1138" t="str">
        <f t="shared" si="67"/>
        <v/>
      </c>
    </row>
    <row r="315" spans="1:38" ht="24" hidden="1" customHeight="1" x14ac:dyDescent="0.15">
      <c r="A315" s="160">
        <v>296</v>
      </c>
      <c r="B315" s="235"/>
      <c r="C315" s="235"/>
      <c r="D315" s="235"/>
      <c r="E315" s="357"/>
      <c r="F315" s="357"/>
      <c r="G315" s="417"/>
      <c r="H315" s="504"/>
      <c r="I315" s="504"/>
      <c r="J315" s="417"/>
      <c r="K315" s="417"/>
      <c r="L315" s="374"/>
      <c r="M315" s="353"/>
      <c r="N315" s="526"/>
      <c r="O315" s="1214"/>
      <c r="P315" s="1231"/>
      <c r="Q315" s="1231"/>
      <c r="R315" s="1231"/>
      <c r="S315" s="1232"/>
      <c r="T315" s="1142" t="s">
        <v>40</v>
      </c>
      <c r="U315" s="1138">
        <f>COUNTIF(D300:D319,"장")</f>
        <v>0</v>
      </c>
      <c r="V315" s="1139">
        <f>COUNTIF(I300:I319,"장")</f>
        <v>0</v>
      </c>
      <c r="W315" s="1138" t="s">
        <v>26</v>
      </c>
      <c r="X315" s="1138">
        <f>SUMIF(D300:D319,"장",F300:F319)</f>
        <v>0</v>
      </c>
      <c r="Y315" s="1139">
        <f>SUMIF(I300:I319,"장",K300:K319)</f>
        <v>0</v>
      </c>
      <c r="Z315" s="1164">
        <f>COUNTIF(AJ300:AJ319,"장국")+COUNTIF(AJ300:AJ319,"장공")</f>
        <v>0</v>
      </c>
      <c r="AA315" s="1165">
        <f>COUNTIF(AK300:AK319,"장국")+COUNTIF(AK300:AK319,"장공")</f>
        <v>0</v>
      </c>
      <c r="AB315" s="1164" t="s">
        <v>26</v>
      </c>
      <c r="AC315" s="1164">
        <f>SUMIF(AJ300:AJ319,"장국",F300:F319)+SUMIF(AJ300:AJ319,"장공",F300:F319)</f>
        <v>0</v>
      </c>
      <c r="AD315" s="1165">
        <f>SUMIF(AK300:AK319,"장국",K300:K319)+SUMIF(AK300:AK319,"장공",K300:K319)</f>
        <v>0</v>
      </c>
      <c r="AE315" s="1138">
        <f t="shared" si="64"/>
        <v>0</v>
      </c>
      <c r="AF315" s="1139">
        <f t="shared" si="64"/>
        <v>0</v>
      </c>
      <c r="AG315" s="1138" t="s">
        <v>26</v>
      </c>
      <c r="AH315" s="1138">
        <f t="shared" si="65"/>
        <v>0</v>
      </c>
      <c r="AI315" s="1139">
        <f t="shared" si="65"/>
        <v>0</v>
      </c>
      <c r="AJ315" s="1138" t="str">
        <f t="shared" si="66"/>
        <v/>
      </c>
      <c r="AK315" s="1138" t="str">
        <f t="shared" si="67"/>
        <v/>
      </c>
    </row>
    <row r="316" spans="1:38" ht="24" hidden="1" customHeight="1" x14ac:dyDescent="0.15">
      <c r="A316" s="160">
        <v>297</v>
      </c>
      <c r="B316" s="235"/>
      <c r="C316" s="235"/>
      <c r="D316" s="235"/>
      <c r="E316" s="357"/>
      <c r="F316" s="357"/>
      <c r="G316" s="417"/>
      <c r="H316" s="504"/>
      <c r="I316" s="504"/>
      <c r="J316" s="417"/>
      <c r="K316" s="417"/>
      <c r="L316" s="374"/>
      <c r="M316" s="353"/>
      <c r="N316" s="526"/>
      <c r="O316" s="1214"/>
      <c r="P316" s="1231"/>
      <c r="Q316" s="1231"/>
      <c r="R316" s="1231"/>
      <c r="S316" s="1232"/>
      <c r="T316" s="1142" t="s">
        <v>5</v>
      </c>
      <c r="U316" s="1138">
        <f>COUNTIF(D300:D319,"목")</f>
        <v>0</v>
      </c>
      <c r="V316" s="1139">
        <f>COUNTIF(I300:I319,"목")</f>
        <v>0</v>
      </c>
      <c r="W316" s="1138" t="s">
        <v>26</v>
      </c>
      <c r="X316" s="1138">
        <f>SUMIF(D300:D319,"목",F300:F319)</f>
        <v>0</v>
      </c>
      <c r="Y316" s="1139">
        <f>SUMIF(I300:I319,"목",K300:K319)</f>
        <v>0</v>
      </c>
      <c r="Z316" s="1164">
        <f>COUNTIF(AJ300:AJ319,"목국")+COUNTIF(AJ300:AJ319,"목공")</f>
        <v>0</v>
      </c>
      <c r="AA316" s="1165">
        <f>COUNTIF(AK300:AK319,"목국")+COUNTIF(AK300:AK319,"목공")</f>
        <v>0</v>
      </c>
      <c r="AB316" s="1164" t="s">
        <v>26</v>
      </c>
      <c r="AC316" s="1164">
        <f>SUMIF(AJ300:AJ319,"목국",F300:F319)+SUMIF(AJ300:AJ319,"목공",F300:F319)</f>
        <v>0</v>
      </c>
      <c r="AD316" s="1165">
        <f>SUMIF(AK300:AK319,"목국",K300:K319)+SUMIF(AK300:AK319,"목공",K300:K319)</f>
        <v>0</v>
      </c>
      <c r="AE316" s="1138">
        <f t="shared" si="64"/>
        <v>0</v>
      </c>
      <c r="AF316" s="1139">
        <f t="shared" si="64"/>
        <v>0</v>
      </c>
      <c r="AG316" s="1138" t="s">
        <v>26</v>
      </c>
      <c r="AH316" s="1138">
        <f t="shared" si="65"/>
        <v>0</v>
      </c>
      <c r="AI316" s="1139">
        <f t="shared" si="65"/>
        <v>0</v>
      </c>
      <c r="AJ316" s="1138" t="str">
        <f t="shared" si="66"/>
        <v/>
      </c>
      <c r="AK316" s="1138" t="str">
        <f t="shared" si="67"/>
        <v/>
      </c>
    </row>
    <row r="317" spans="1:38" ht="24" hidden="1" customHeight="1" x14ac:dyDescent="0.15">
      <c r="A317" s="160">
        <v>298</v>
      </c>
      <c r="B317" s="235"/>
      <c r="C317" s="235"/>
      <c r="D317" s="235"/>
      <c r="E317" s="357"/>
      <c r="F317" s="357"/>
      <c r="G317" s="417"/>
      <c r="H317" s="504"/>
      <c r="I317" s="504"/>
      <c r="J317" s="417"/>
      <c r="K317" s="417"/>
      <c r="L317" s="374"/>
      <c r="M317" s="353"/>
      <c r="N317" s="526"/>
      <c r="O317" s="1214"/>
      <c r="P317" s="1231"/>
      <c r="Q317" s="1231"/>
      <c r="R317" s="1231"/>
      <c r="S317" s="1232"/>
      <c r="T317" s="1142"/>
      <c r="U317" s="1142"/>
      <c r="V317" s="1143"/>
      <c r="W317" s="1142"/>
      <c r="X317" s="1142"/>
      <c r="Y317" s="1143"/>
      <c r="Z317" s="1164"/>
      <c r="AA317" s="1165"/>
      <c r="AB317" s="1173"/>
      <c r="AC317" s="1164"/>
      <c r="AD317" s="1165"/>
      <c r="AE317" s="1142"/>
      <c r="AF317" s="1143"/>
      <c r="AG317" s="1142"/>
      <c r="AH317" s="1142"/>
      <c r="AI317" s="1143"/>
      <c r="AJ317" s="1138" t="str">
        <f t="shared" si="66"/>
        <v/>
      </c>
      <c r="AK317" s="1138" t="str">
        <f t="shared" si="67"/>
        <v/>
      </c>
    </row>
    <row r="318" spans="1:38" ht="24" hidden="1" customHeight="1" x14ac:dyDescent="0.15">
      <c r="A318" s="160">
        <v>299</v>
      </c>
      <c r="B318" s="235"/>
      <c r="C318" s="235"/>
      <c r="D318" s="235"/>
      <c r="E318" s="357"/>
      <c r="F318" s="357"/>
      <c r="G318" s="417"/>
      <c r="H318" s="504"/>
      <c r="I318" s="504"/>
      <c r="J318" s="417"/>
      <c r="K318" s="417"/>
      <c r="L318" s="374"/>
      <c r="M318" s="353"/>
      <c r="N318" s="526"/>
      <c r="O318" s="1214"/>
      <c r="P318" s="1231"/>
      <c r="Q318" s="1231"/>
      <c r="R318" s="1231"/>
      <c r="S318" s="1232"/>
      <c r="T318" s="1142"/>
      <c r="U318" s="1142"/>
      <c r="V318" s="1143"/>
      <c r="W318" s="1142"/>
      <c r="X318" s="1142"/>
      <c r="Y318" s="1143"/>
      <c r="Z318" s="1164"/>
      <c r="AA318" s="1165"/>
      <c r="AB318" s="1173"/>
      <c r="AC318" s="1164"/>
      <c r="AD318" s="1165"/>
      <c r="AE318" s="1142"/>
      <c r="AF318" s="1143"/>
      <c r="AG318" s="1142"/>
      <c r="AH318" s="1142"/>
      <c r="AI318" s="1143"/>
      <c r="AJ318" s="1138" t="str">
        <f t="shared" si="66"/>
        <v/>
      </c>
      <c r="AK318" s="1138" t="str">
        <f t="shared" si="67"/>
        <v/>
      </c>
    </row>
    <row r="319" spans="1:38" ht="24" hidden="1" customHeight="1" x14ac:dyDescent="0.15">
      <c r="A319" s="160">
        <v>300</v>
      </c>
      <c r="B319" s="235"/>
      <c r="C319" s="235"/>
      <c r="D319" s="235"/>
      <c r="E319" s="357"/>
      <c r="F319" s="357"/>
      <c r="G319" s="417"/>
      <c r="H319" s="504"/>
      <c r="I319" s="504"/>
      <c r="J319" s="417"/>
      <c r="K319" s="417"/>
      <c r="L319" s="374"/>
      <c r="M319" s="353"/>
      <c r="N319" s="526"/>
      <c r="O319" s="1214"/>
      <c r="P319" s="1231"/>
      <c r="Q319" s="1231"/>
      <c r="R319" s="1231"/>
      <c r="S319" s="1233"/>
      <c r="T319" s="1144" t="s">
        <v>37</v>
      </c>
      <c r="U319" s="1144">
        <f>COUNTIF(D300:D319,"철")</f>
        <v>0</v>
      </c>
      <c r="V319" s="1145">
        <f>COUNTIF(I300:I319,"철")</f>
        <v>0</v>
      </c>
      <c r="W319" s="1144" t="s">
        <v>26</v>
      </c>
      <c r="X319" s="1144">
        <f>SUMIF(D300:D319,"철",F300:F319)</f>
        <v>0</v>
      </c>
      <c r="Y319" s="1145">
        <f>SUMIF(I300:I319,"철",K300:K319)</f>
        <v>0</v>
      </c>
      <c r="Z319" s="1164">
        <f>COUNTIF(AJ300:AJ319,"철국")+COUNTIF(AJ300:AJ319,"철공")</f>
        <v>0</v>
      </c>
      <c r="AA319" s="1165">
        <f>COUNTIF(AK300:AK319,"철국")+COUNTIF(AK300:AK319,"철공")</f>
        <v>0</v>
      </c>
      <c r="AB319" s="1174" t="s">
        <v>26</v>
      </c>
      <c r="AC319" s="1164">
        <f>SUMIF(AJ300:AJ319,"철국",F300:F319)+SUMIF(AJ300:AJ319,"철공",F300:F319)</f>
        <v>0</v>
      </c>
      <c r="AD319" s="1165">
        <f>SUMIF(AK300:AK319,"철국",K300:K319)+SUMIF(AK300:AK319,"철공",K300:K319)</f>
        <v>0</v>
      </c>
      <c r="AE319" s="1144"/>
      <c r="AF319" s="1145"/>
      <c r="AG319" s="1144"/>
      <c r="AH319" s="1144"/>
      <c r="AI319" s="1145"/>
      <c r="AJ319" s="1138" t="str">
        <f t="shared" si="66"/>
        <v/>
      </c>
      <c r="AK319" s="1138" t="str">
        <f t="shared" si="67"/>
        <v/>
      </c>
    </row>
    <row r="320" spans="1:38" s="67" customFormat="1" ht="24.95" hidden="1" customHeight="1" thickBot="1" x14ac:dyDescent="0.2">
      <c r="A320" s="1215" t="s">
        <v>48</v>
      </c>
      <c r="B320" s="1216"/>
      <c r="C320" s="1216"/>
      <c r="D320" s="1216"/>
      <c r="E320" s="1217"/>
      <c r="F320" s="1148">
        <f>SUM(F300:F319)</f>
        <v>0</v>
      </c>
      <c r="G320" s="1218"/>
      <c r="H320" s="1219"/>
      <c r="I320" s="1219"/>
      <c r="J320" s="1218"/>
      <c r="K320" s="1202">
        <f>SUM(K300:K319)</f>
        <v>0</v>
      </c>
      <c r="L320" s="1220"/>
      <c r="M320" s="1221"/>
      <c r="N320" s="1222"/>
      <c r="O320" s="1223"/>
      <c r="P320" s="1221"/>
      <c r="Q320" s="1221"/>
      <c r="R320" s="1221"/>
      <c r="S320" s="1224"/>
      <c r="T320" s="1156" t="s">
        <v>24</v>
      </c>
      <c r="U320" s="1157">
        <f t="shared" ref="U320:AA320" si="68">SUM(U300:U319)</f>
        <v>0</v>
      </c>
      <c r="V320" s="1157">
        <f t="shared" si="68"/>
        <v>0</v>
      </c>
      <c r="W320" s="1157">
        <f t="shared" si="68"/>
        <v>0</v>
      </c>
      <c r="X320" s="1157">
        <f t="shared" si="68"/>
        <v>0</v>
      </c>
      <c r="Y320" s="1157">
        <f t="shared" si="68"/>
        <v>0</v>
      </c>
      <c r="Z320" s="1164">
        <f t="shared" si="68"/>
        <v>0</v>
      </c>
      <c r="AA320" s="1165">
        <f t="shared" si="68"/>
        <v>0</v>
      </c>
      <c r="AB320" s="1164" t="s">
        <v>26</v>
      </c>
      <c r="AC320" s="1164">
        <f>SUM(AC300:AC319)</f>
        <v>0</v>
      </c>
      <c r="AD320" s="1165">
        <f>SUM(AD300:AD319)</f>
        <v>0</v>
      </c>
      <c r="AE320" s="1157">
        <f>SUM(AE300:AE319)</f>
        <v>0</v>
      </c>
      <c r="AF320" s="1157">
        <f>SUM(AF300:AF319)</f>
        <v>0</v>
      </c>
      <c r="AG320" s="1157" t="s">
        <v>26</v>
      </c>
      <c r="AH320" s="1157">
        <f>SUM(AH300:AH319)</f>
        <v>0</v>
      </c>
      <c r="AI320" s="1157">
        <f>SUM(AI300:AI319)</f>
        <v>0</v>
      </c>
      <c r="AJ320" s="1157"/>
      <c r="AK320" s="1134"/>
      <c r="AL320" s="66"/>
    </row>
    <row r="321" spans="1:60" ht="24" hidden="1" customHeight="1" x14ac:dyDescent="0.15">
      <c r="A321" s="159">
        <v>301</v>
      </c>
      <c r="B321" s="270"/>
      <c r="C321" s="270"/>
      <c r="D321" s="270"/>
      <c r="E321" s="369"/>
      <c r="F321" s="369"/>
      <c r="G321" s="488"/>
      <c r="H321" s="1225"/>
      <c r="I321" s="1225"/>
      <c r="J321" s="488"/>
      <c r="K321" s="488"/>
      <c r="L321" s="1226"/>
      <c r="M321" s="1210"/>
      <c r="N321" s="1227"/>
      <c r="O321" s="1228"/>
      <c r="P321" s="1210"/>
      <c r="Q321" s="1210"/>
      <c r="R321" s="1210"/>
      <c r="S321" s="1211"/>
      <c r="T321" s="1138" t="s">
        <v>27</v>
      </c>
      <c r="U321" s="1138">
        <f>COUNTIF(D321:D340,"전")</f>
        <v>0</v>
      </c>
      <c r="V321" s="1139">
        <f>COUNTIF(I321:I340,"전")</f>
        <v>0</v>
      </c>
      <c r="W321" s="1138" t="s">
        <v>26</v>
      </c>
      <c r="X321" s="1138">
        <f>SUMIF(D321:D340,"전",F321:F340)</f>
        <v>0</v>
      </c>
      <c r="Y321" s="1139">
        <f>SUMIF(I321:I340,"전",K321:K340)</f>
        <v>0</v>
      </c>
      <c r="Z321" s="1164">
        <f>COUNTIF(AJ321:AJ340,"전국")+COUNTIF(AJ321:AJ340,"전공")</f>
        <v>0</v>
      </c>
      <c r="AA321" s="1165">
        <f>COUNTIF(AK321:AK340,"전국")+COUNTIF(AK321:AK340,"전공")</f>
        <v>0</v>
      </c>
      <c r="AB321" s="1164" t="s">
        <v>26</v>
      </c>
      <c r="AC321" s="1164">
        <f>SUMIF(AJ321:AJ340,"전국",F321:F340)+SUMIF(AJ321:AJ340,"전공",F321:F340)</f>
        <v>0</v>
      </c>
      <c r="AD321" s="1165">
        <f>SUMIF(AK321:AK340,"전국",K321:K340)+SUMIF(AK321:AK340,"전공",K321:K340)</f>
        <v>0</v>
      </c>
      <c r="AE321" s="1138">
        <f t="shared" ref="AE321:AF337" si="69">U321-Z321</f>
        <v>0</v>
      </c>
      <c r="AF321" s="1139">
        <f t="shared" si="69"/>
        <v>0</v>
      </c>
      <c r="AG321" s="1138" t="s">
        <v>26</v>
      </c>
      <c r="AH321" s="1138">
        <f t="shared" ref="AH321:AI337" si="70">X321-AC321</f>
        <v>0</v>
      </c>
      <c r="AI321" s="1139">
        <f t="shared" si="70"/>
        <v>0</v>
      </c>
      <c r="AJ321" s="1138" t="str">
        <f t="shared" ref="AJ321:AJ340" si="71">CONCATENATE(D321,L321)</f>
        <v/>
      </c>
      <c r="AK321" s="1138" t="str">
        <f t="shared" ref="AK321:AK340" si="72">CONCATENATE(I321,L321)</f>
        <v/>
      </c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</row>
    <row r="322" spans="1:60" ht="24" hidden="1" customHeight="1" x14ac:dyDescent="0.15">
      <c r="A322" s="160">
        <v>302</v>
      </c>
      <c r="B322" s="235"/>
      <c r="C322" s="235"/>
      <c r="D322" s="235"/>
      <c r="E322" s="357"/>
      <c r="F322" s="357"/>
      <c r="G322" s="417"/>
      <c r="H322" s="504"/>
      <c r="I322" s="504"/>
      <c r="J322" s="417"/>
      <c r="K322" s="417"/>
      <c r="L322" s="374"/>
      <c r="M322" s="353"/>
      <c r="N322" s="526"/>
      <c r="O322" s="1214"/>
      <c r="P322" s="353"/>
      <c r="Q322" s="353"/>
      <c r="R322" s="353"/>
      <c r="S322" s="1209"/>
      <c r="T322" s="1138" t="s">
        <v>28</v>
      </c>
      <c r="U322" s="1138">
        <f>COUNTIF(D321:D340,"답")</f>
        <v>0</v>
      </c>
      <c r="V322" s="1139">
        <f>COUNTIF(I321:I340,"답")</f>
        <v>0</v>
      </c>
      <c r="W322" s="1138" t="s">
        <v>26</v>
      </c>
      <c r="X322" s="1138">
        <f>SUMIF(D321:D340,"답",F321:F340)</f>
        <v>0</v>
      </c>
      <c r="Y322" s="1139">
        <f>SUMIF(I321:I340,"답",K321:K340)</f>
        <v>0</v>
      </c>
      <c r="Z322" s="1164">
        <f>COUNTIF(AJ321:AJ340,"답국")+COUNTIF(AJ321:AJ340,"답공")</f>
        <v>0</v>
      </c>
      <c r="AA322" s="1165">
        <f>COUNTIF(AK321:AK340,"답국")+COUNTIF(AK321:AK340,"답공")</f>
        <v>0</v>
      </c>
      <c r="AB322" s="1164" t="s">
        <v>26</v>
      </c>
      <c r="AC322" s="1164">
        <f>SUMIF(AJ321:AJ340,"답국",F321:F340)+SUMIF(AJ321:AJ340,"답공",F321:F340)</f>
        <v>0</v>
      </c>
      <c r="AD322" s="1165">
        <f>SUMIF(AK321:AK340,"답국",K321:K340)+SUMIF(AK321:AK340,"답공",K321:K340)</f>
        <v>0</v>
      </c>
      <c r="AE322" s="1138">
        <f t="shared" si="69"/>
        <v>0</v>
      </c>
      <c r="AF322" s="1139">
        <f t="shared" si="69"/>
        <v>0</v>
      </c>
      <c r="AG322" s="1138" t="s">
        <v>26</v>
      </c>
      <c r="AH322" s="1138">
        <f t="shared" si="70"/>
        <v>0</v>
      </c>
      <c r="AI322" s="1139">
        <f t="shared" si="70"/>
        <v>0</v>
      </c>
      <c r="AJ322" s="1138" t="str">
        <f t="shared" si="71"/>
        <v/>
      </c>
      <c r="AK322" s="1138" t="str">
        <f t="shared" si="72"/>
        <v/>
      </c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</row>
    <row r="323" spans="1:60" ht="24" hidden="1" customHeight="1" x14ac:dyDescent="0.15">
      <c r="A323" s="160">
        <v>303</v>
      </c>
      <c r="B323" s="235"/>
      <c r="C323" s="235"/>
      <c r="D323" s="235"/>
      <c r="E323" s="357"/>
      <c r="F323" s="357"/>
      <c r="G323" s="417"/>
      <c r="H323" s="504"/>
      <c r="I323" s="504"/>
      <c r="J323" s="417"/>
      <c r="K323" s="417"/>
      <c r="L323" s="374"/>
      <c r="M323" s="353"/>
      <c r="N323" s="526"/>
      <c r="O323" s="1214"/>
      <c r="P323" s="353"/>
      <c r="Q323" s="353"/>
      <c r="R323" s="353"/>
      <c r="S323" s="1209"/>
      <c r="T323" s="1138" t="s">
        <v>44</v>
      </c>
      <c r="U323" s="1138">
        <f>COUNTIF(D321:D340,"임")</f>
        <v>0</v>
      </c>
      <c r="V323" s="1139">
        <f>COUNTIF(I321:I340,"임")</f>
        <v>0</v>
      </c>
      <c r="W323" s="1138" t="s">
        <v>26</v>
      </c>
      <c r="X323" s="1138">
        <f>SUMIF(D321:D340,"임",F321:F340)</f>
        <v>0</v>
      </c>
      <c r="Y323" s="1139">
        <f>SUMIF(I321:I340,"임",K321:K340)</f>
        <v>0</v>
      </c>
      <c r="Z323" s="1164">
        <f>COUNTIF(AJ321:AJ340,"임국")+COUNTIF(AJ321:AJ340,"임공")</f>
        <v>0</v>
      </c>
      <c r="AA323" s="1165">
        <f>COUNTIF(AK321:AK340,"임국")+COUNTIF(AK321:AK340,"임공")</f>
        <v>0</v>
      </c>
      <c r="AB323" s="1164" t="s">
        <v>26</v>
      </c>
      <c r="AC323" s="1164">
        <f>SUMIF(AJ321:AJ340,"임국",F321:F340)+SUMIF(AJ321:AJ340,"임공",F321:F340)</f>
        <v>0</v>
      </c>
      <c r="AD323" s="1165">
        <f>SUMIF(AK321:AK340,"임국",K321:K340)+SUMIF(AK321:AK340,"임공",K321:K340)</f>
        <v>0</v>
      </c>
      <c r="AE323" s="1138">
        <f t="shared" si="69"/>
        <v>0</v>
      </c>
      <c r="AF323" s="1139">
        <f t="shared" si="69"/>
        <v>0</v>
      </c>
      <c r="AG323" s="1138" t="s">
        <v>26</v>
      </c>
      <c r="AH323" s="1138">
        <f t="shared" si="70"/>
        <v>0</v>
      </c>
      <c r="AI323" s="1139">
        <f t="shared" si="70"/>
        <v>0</v>
      </c>
      <c r="AJ323" s="1138" t="str">
        <f t="shared" si="71"/>
        <v/>
      </c>
      <c r="AK323" s="1138" t="str">
        <f t="shared" si="72"/>
        <v/>
      </c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</row>
    <row r="324" spans="1:60" ht="24" hidden="1" customHeight="1" x14ac:dyDescent="0.15">
      <c r="A324" s="160">
        <v>304</v>
      </c>
      <c r="B324" s="235"/>
      <c r="C324" s="235"/>
      <c r="D324" s="235"/>
      <c r="E324" s="357"/>
      <c r="F324" s="357"/>
      <c r="G324" s="417"/>
      <c r="H324" s="504"/>
      <c r="I324" s="504"/>
      <c r="J324" s="417"/>
      <c r="K324" s="417"/>
      <c r="L324" s="374"/>
      <c r="M324" s="353"/>
      <c r="N324" s="526"/>
      <c r="O324" s="1214"/>
      <c r="P324" s="353"/>
      <c r="Q324" s="353"/>
      <c r="R324" s="353"/>
      <c r="S324" s="1209"/>
      <c r="T324" s="1138" t="s">
        <v>45</v>
      </c>
      <c r="U324" s="1138">
        <f>COUNTIF(D321:D340,"대")</f>
        <v>0</v>
      </c>
      <c r="V324" s="1139">
        <f>COUNTIF(I321:I340,"대")</f>
        <v>0</v>
      </c>
      <c r="W324" s="1138" t="s">
        <v>26</v>
      </c>
      <c r="X324" s="1138">
        <f>SUMIF(D321:D340,"대",F321:F340)</f>
        <v>0</v>
      </c>
      <c r="Y324" s="1139">
        <f>SUMIF(I321:I340,"대",K321:K340)</f>
        <v>0</v>
      </c>
      <c r="Z324" s="1164">
        <f>COUNTIF(AJ321:AJ340,"대국")+COUNTIF(AJ321:AJ340,"대공")</f>
        <v>0</v>
      </c>
      <c r="AA324" s="1165">
        <f>COUNTIF(AK321:AK340,"대국")+COUNTIF(AK321:AK340,"대공")</f>
        <v>0</v>
      </c>
      <c r="AB324" s="1164" t="s">
        <v>26</v>
      </c>
      <c r="AC324" s="1164">
        <f>SUMIF(AJ321:AJ340,"대국",F321:F340)+SUMIF(AJ321:AJ340,"대공",F321:F340)</f>
        <v>0</v>
      </c>
      <c r="AD324" s="1165">
        <f>SUMIF(AK321:AK340,"대국",K321:K340)+SUMIF(AK321:AK340,"대공",K321:K340)</f>
        <v>0</v>
      </c>
      <c r="AE324" s="1138">
        <f t="shared" si="69"/>
        <v>0</v>
      </c>
      <c r="AF324" s="1139">
        <f t="shared" si="69"/>
        <v>0</v>
      </c>
      <c r="AG324" s="1138" t="s">
        <v>26</v>
      </c>
      <c r="AH324" s="1138">
        <f t="shared" si="70"/>
        <v>0</v>
      </c>
      <c r="AI324" s="1139">
        <f t="shared" si="70"/>
        <v>0</v>
      </c>
      <c r="AJ324" s="1138" t="str">
        <f t="shared" si="71"/>
        <v/>
      </c>
      <c r="AK324" s="1138" t="str">
        <f t="shared" si="72"/>
        <v/>
      </c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</row>
    <row r="325" spans="1:60" ht="24" hidden="1" customHeight="1" x14ac:dyDescent="0.15">
      <c r="A325" s="160">
        <v>305</v>
      </c>
      <c r="B325" s="235"/>
      <c r="C325" s="235"/>
      <c r="D325" s="235"/>
      <c r="E325" s="357"/>
      <c r="F325" s="357"/>
      <c r="G325" s="417"/>
      <c r="H325" s="504"/>
      <c r="I325" s="504"/>
      <c r="J325" s="417"/>
      <c r="K325" s="417"/>
      <c r="L325" s="374"/>
      <c r="M325" s="353"/>
      <c r="N325" s="526"/>
      <c r="O325" s="1214"/>
      <c r="P325" s="353"/>
      <c r="Q325" s="353"/>
      <c r="R325" s="353"/>
      <c r="S325" s="1209"/>
      <c r="T325" s="1138" t="s">
        <v>31</v>
      </c>
      <c r="U325" s="1138">
        <f>COUNTIF(D321:D340,"도")</f>
        <v>0</v>
      </c>
      <c r="V325" s="1139">
        <f>COUNTIF(I321:I340,"도")</f>
        <v>0</v>
      </c>
      <c r="W325" s="1138" t="s">
        <v>26</v>
      </c>
      <c r="X325" s="1138">
        <f>SUMIF(D321:D340,"도",F321:F340)</f>
        <v>0</v>
      </c>
      <c r="Y325" s="1139">
        <f>SUMIF(I321:I340,"도",K321:K340)</f>
        <v>0</v>
      </c>
      <c r="Z325" s="1164">
        <f>COUNTIF(AJ321:AJ340,"도국")+COUNTIF(AJ321:AJ340,"도공")</f>
        <v>0</v>
      </c>
      <c r="AA325" s="1165">
        <f>COUNTIF(AK321:AK340,"도국")+COUNTIF(AK321:AK340,"도공")</f>
        <v>0</v>
      </c>
      <c r="AB325" s="1164" t="s">
        <v>26</v>
      </c>
      <c r="AC325" s="1164">
        <f>SUMIF(AJ321:AJ340,"도국",F321:F340)+SUMIF(AJ321:AJ340,"도공",F321:F340)</f>
        <v>0</v>
      </c>
      <c r="AD325" s="1165">
        <f>SUMIF(AK321:AK340,"도국",K321:K340)+SUMIF(AK321:AK340,"도공",K321:K340)</f>
        <v>0</v>
      </c>
      <c r="AE325" s="1138">
        <f t="shared" si="69"/>
        <v>0</v>
      </c>
      <c r="AF325" s="1139">
        <f t="shared" si="69"/>
        <v>0</v>
      </c>
      <c r="AG325" s="1138" t="s">
        <v>26</v>
      </c>
      <c r="AH325" s="1138">
        <f t="shared" si="70"/>
        <v>0</v>
      </c>
      <c r="AI325" s="1139">
        <f t="shared" si="70"/>
        <v>0</v>
      </c>
      <c r="AJ325" s="1138" t="str">
        <f t="shared" si="71"/>
        <v/>
      </c>
      <c r="AK325" s="1138" t="str">
        <f t="shared" si="72"/>
        <v/>
      </c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</row>
    <row r="326" spans="1:60" ht="24" hidden="1" customHeight="1" x14ac:dyDescent="0.15">
      <c r="A326" s="160">
        <v>306</v>
      </c>
      <c r="B326" s="235"/>
      <c r="C326" s="235"/>
      <c r="D326" s="235"/>
      <c r="E326" s="357"/>
      <c r="F326" s="357"/>
      <c r="G326" s="417"/>
      <c r="H326" s="504"/>
      <c r="I326" s="504"/>
      <c r="J326" s="417"/>
      <c r="K326" s="417"/>
      <c r="L326" s="374"/>
      <c r="M326" s="1229"/>
      <c r="N326" s="526"/>
      <c r="O326" s="1214"/>
      <c r="P326" s="353"/>
      <c r="Q326" s="353"/>
      <c r="R326" s="353"/>
      <c r="S326" s="1209"/>
      <c r="T326" s="1138" t="s">
        <v>32</v>
      </c>
      <c r="U326" s="1140">
        <f>COUNTIF(D321:D340,"천")</f>
        <v>0</v>
      </c>
      <c r="V326" s="1141">
        <f>COUNTIF(I321:I340,"천")</f>
        <v>0</v>
      </c>
      <c r="W326" s="1138" t="s">
        <v>26</v>
      </c>
      <c r="X326" s="1138">
        <f>SUMIF(D321:D340,"천",F321:F340)</f>
        <v>0</v>
      </c>
      <c r="Y326" s="1139">
        <f>SUMIF(I321:I340,"천",K321:K340)</f>
        <v>0</v>
      </c>
      <c r="Z326" s="1164">
        <f>COUNTIF(AJ321:AJ340,"천국")+COUNTIF(AJ321:AJ340,"천공")</f>
        <v>0</v>
      </c>
      <c r="AA326" s="1165">
        <f>COUNTIF(AK321:AK340,"천국")+COUNTIF(AK321:AK340,"천공")</f>
        <v>0</v>
      </c>
      <c r="AB326" s="1164" t="s">
        <v>26</v>
      </c>
      <c r="AC326" s="1164">
        <f>SUMIF(AJ321:AJ340,"천국",F321:F340)+SUMIF(AJ321:AJ340,"천공",F321:F340)</f>
        <v>0</v>
      </c>
      <c r="AD326" s="1165">
        <f>SUMIF(AK321:AK340,"천국",K321:K340)+SUMIF(AK321:AK340,"천공",K321:K340)</f>
        <v>0</v>
      </c>
      <c r="AE326" s="1138">
        <f t="shared" si="69"/>
        <v>0</v>
      </c>
      <c r="AF326" s="1139">
        <f t="shared" si="69"/>
        <v>0</v>
      </c>
      <c r="AG326" s="1138" t="s">
        <v>26</v>
      </c>
      <c r="AH326" s="1138">
        <f t="shared" si="70"/>
        <v>0</v>
      </c>
      <c r="AI326" s="1139">
        <f t="shared" si="70"/>
        <v>0</v>
      </c>
      <c r="AJ326" s="1138" t="str">
        <f t="shared" si="71"/>
        <v/>
      </c>
      <c r="AK326" s="1138" t="str">
        <f t="shared" si="72"/>
        <v/>
      </c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</row>
    <row r="327" spans="1:60" ht="24" hidden="1" customHeight="1" x14ac:dyDescent="0.15">
      <c r="A327" s="160">
        <v>307</v>
      </c>
      <c r="B327" s="235"/>
      <c r="C327" s="235"/>
      <c r="D327" s="235"/>
      <c r="E327" s="357"/>
      <c r="F327" s="357"/>
      <c r="G327" s="417"/>
      <c r="H327" s="504"/>
      <c r="I327" s="504"/>
      <c r="J327" s="417"/>
      <c r="K327" s="417"/>
      <c r="L327" s="374"/>
      <c r="M327" s="353"/>
      <c r="N327" s="526"/>
      <c r="O327" s="1214"/>
      <c r="P327" s="353"/>
      <c r="Q327" s="353"/>
      <c r="R327" s="353"/>
      <c r="S327" s="1209"/>
      <c r="T327" s="1138" t="s">
        <v>33</v>
      </c>
      <c r="U327" s="1138">
        <f>COUNTIF(D321:D340,"구")</f>
        <v>0</v>
      </c>
      <c r="V327" s="1139">
        <f>COUNTIF(I321:I340,"구")</f>
        <v>0</v>
      </c>
      <c r="W327" s="1138" t="s">
        <v>26</v>
      </c>
      <c r="X327" s="1138">
        <f>SUMIF(D321:D340,"구",F321:F340)</f>
        <v>0</v>
      </c>
      <c r="Y327" s="1139">
        <f>SUMIF(I321:I340,"구",K321:K340)</f>
        <v>0</v>
      </c>
      <c r="Z327" s="1164">
        <f>COUNTIF(AJ321:AJ340,"구국")+COUNTIF(AJ321:AJ340,"구공")</f>
        <v>0</v>
      </c>
      <c r="AA327" s="1165">
        <f>COUNTIF(AK321:AK340,"구국")+COUNTIF(AK321:AK340,"구공")</f>
        <v>0</v>
      </c>
      <c r="AB327" s="1164" t="s">
        <v>26</v>
      </c>
      <c r="AC327" s="1164">
        <f>SUMIF(AJ321:AJ340,"구국",F321:F340)+SUMIF(AJ321:AJ340,"구공",F321:F340)</f>
        <v>0</v>
      </c>
      <c r="AD327" s="1165">
        <f>SUMIF(AK321:AK340,"구국",K321:K340)+SUMIF(AK321:AK340,"구공",K321:K340)</f>
        <v>0</v>
      </c>
      <c r="AE327" s="1138">
        <f t="shared" si="69"/>
        <v>0</v>
      </c>
      <c r="AF327" s="1139">
        <f t="shared" si="69"/>
        <v>0</v>
      </c>
      <c r="AG327" s="1138" t="s">
        <v>26</v>
      </c>
      <c r="AH327" s="1138">
        <f t="shared" si="70"/>
        <v>0</v>
      </c>
      <c r="AI327" s="1139">
        <f t="shared" si="70"/>
        <v>0</v>
      </c>
      <c r="AJ327" s="1138" t="str">
        <f t="shared" si="71"/>
        <v/>
      </c>
      <c r="AK327" s="1138" t="str">
        <f t="shared" si="72"/>
        <v/>
      </c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</row>
    <row r="328" spans="1:60" ht="24" hidden="1" customHeight="1" x14ac:dyDescent="0.15">
      <c r="A328" s="160">
        <v>308</v>
      </c>
      <c r="B328" s="235"/>
      <c r="C328" s="235"/>
      <c r="D328" s="235"/>
      <c r="E328" s="357"/>
      <c r="F328" s="357"/>
      <c r="G328" s="417"/>
      <c r="H328" s="504"/>
      <c r="I328" s="504"/>
      <c r="J328" s="417"/>
      <c r="K328" s="417"/>
      <c r="L328" s="374"/>
      <c r="M328" s="353"/>
      <c r="N328" s="526"/>
      <c r="O328" s="1214"/>
      <c r="P328" s="353"/>
      <c r="Q328" s="353"/>
      <c r="R328" s="353"/>
      <c r="S328" s="1209"/>
      <c r="T328" s="1138" t="s">
        <v>34</v>
      </c>
      <c r="U328" s="1138">
        <f>COUNTIF(D321:D340,"제")</f>
        <v>0</v>
      </c>
      <c r="V328" s="1139">
        <f>COUNTIF(I321:I340,"제")</f>
        <v>0</v>
      </c>
      <c r="W328" s="1138" t="s">
        <v>26</v>
      </c>
      <c r="X328" s="1138">
        <f>SUMIF(D321:D340,"제",F321:F340)</f>
        <v>0</v>
      </c>
      <c r="Y328" s="1139">
        <f>SUMIF(I321:I340,"제",K321:K340)</f>
        <v>0</v>
      </c>
      <c r="Z328" s="1164">
        <f>COUNTIF(AJ321:AJ340,"제국")+COUNTIF(AJ321:AJ340,"제공")</f>
        <v>0</v>
      </c>
      <c r="AA328" s="1165">
        <f>COUNTIF(AK321:AK340,"제국")+COUNTIF(AK321:AK340,"제공")</f>
        <v>0</v>
      </c>
      <c r="AB328" s="1164" t="s">
        <v>26</v>
      </c>
      <c r="AC328" s="1164">
        <f>SUMIF(AJ321:AJ340,"제국",F321:F340)+SUMIF(AJ321:AJ340,"제공",F321:F340)</f>
        <v>0</v>
      </c>
      <c r="AD328" s="1165">
        <f>SUMIF(AK321:AK340,"제국",K321:K340)+SUMIF(AK321:AK340,"제공",K321:K340)</f>
        <v>0</v>
      </c>
      <c r="AE328" s="1138">
        <f t="shared" si="69"/>
        <v>0</v>
      </c>
      <c r="AF328" s="1139">
        <f t="shared" si="69"/>
        <v>0</v>
      </c>
      <c r="AG328" s="1138" t="s">
        <v>26</v>
      </c>
      <c r="AH328" s="1138">
        <f t="shared" si="70"/>
        <v>0</v>
      </c>
      <c r="AI328" s="1139">
        <f t="shared" si="70"/>
        <v>0</v>
      </c>
      <c r="AJ328" s="1138" t="str">
        <f t="shared" si="71"/>
        <v/>
      </c>
      <c r="AK328" s="1138" t="str">
        <f t="shared" si="72"/>
        <v/>
      </c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</row>
    <row r="329" spans="1:60" ht="24" hidden="1" customHeight="1" x14ac:dyDescent="0.15">
      <c r="A329" s="160">
        <v>309</v>
      </c>
      <c r="B329" s="235"/>
      <c r="C329" s="235"/>
      <c r="D329" s="235"/>
      <c r="E329" s="357"/>
      <c r="F329" s="357"/>
      <c r="G329" s="417"/>
      <c r="H329" s="504"/>
      <c r="I329" s="504"/>
      <c r="J329" s="417"/>
      <c r="K329" s="417"/>
      <c r="L329" s="374"/>
      <c r="M329" s="353"/>
      <c r="N329" s="526"/>
      <c r="O329" s="1214"/>
      <c r="P329" s="353"/>
      <c r="Q329" s="353"/>
      <c r="R329" s="353"/>
      <c r="S329" s="1209"/>
      <c r="T329" s="1138" t="s">
        <v>46</v>
      </c>
      <c r="U329" s="1138">
        <f>COUNTIF(D321:D340,"유")</f>
        <v>0</v>
      </c>
      <c r="V329" s="1139">
        <f>COUNTIF(I321:I340,"유")</f>
        <v>0</v>
      </c>
      <c r="W329" s="1138" t="s">
        <v>26</v>
      </c>
      <c r="X329" s="1138">
        <f>SUMIF(D321:D340,"유",F321:F340)</f>
        <v>0</v>
      </c>
      <c r="Y329" s="1139">
        <f>SUMIF(I321:I340,"유",K321:K340)</f>
        <v>0</v>
      </c>
      <c r="Z329" s="1164">
        <f>COUNTIF(AJ321:AJ340,"유국")+COUNTIF(AJ321:AJ340,"유공")</f>
        <v>0</v>
      </c>
      <c r="AA329" s="1165">
        <f>COUNTIF(AK321:AK340,"유국")+COUNTIF(AK321:AK340,"유공")</f>
        <v>0</v>
      </c>
      <c r="AB329" s="1164" t="s">
        <v>26</v>
      </c>
      <c r="AC329" s="1164">
        <f>SUMIF(AJ321:AJ340,"유국",F321:F340)+SUMIF(AJ321:AJ340,"유공",F321:F340)</f>
        <v>0</v>
      </c>
      <c r="AD329" s="1165">
        <f>SUMIF(AK321:AK340,"유국",K321:K340)+SUMIF(AK321:AK340,"유공",K321:K340)</f>
        <v>0</v>
      </c>
      <c r="AE329" s="1138">
        <f t="shared" si="69"/>
        <v>0</v>
      </c>
      <c r="AF329" s="1139">
        <f t="shared" si="69"/>
        <v>0</v>
      </c>
      <c r="AG329" s="1138" t="s">
        <v>26</v>
      </c>
      <c r="AH329" s="1138">
        <f t="shared" si="70"/>
        <v>0</v>
      </c>
      <c r="AI329" s="1139">
        <f t="shared" si="70"/>
        <v>0</v>
      </c>
      <c r="AJ329" s="1138" t="str">
        <f t="shared" si="71"/>
        <v/>
      </c>
      <c r="AK329" s="1138" t="str">
        <f t="shared" si="72"/>
        <v/>
      </c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</row>
    <row r="330" spans="1:60" ht="24" hidden="1" customHeight="1" x14ac:dyDescent="0.15">
      <c r="A330" s="160">
        <v>310</v>
      </c>
      <c r="B330" s="235"/>
      <c r="C330" s="235"/>
      <c r="D330" s="235"/>
      <c r="E330" s="357"/>
      <c r="F330" s="357"/>
      <c r="G330" s="417"/>
      <c r="H330" s="504"/>
      <c r="I330" s="504"/>
      <c r="J330" s="417"/>
      <c r="K330" s="417"/>
      <c r="L330" s="374"/>
      <c r="M330" s="353"/>
      <c r="N330" s="526"/>
      <c r="O330" s="1214"/>
      <c r="P330" s="353"/>
      <c r="Q330" s="353"/>
      <c r="R330" s="353"/>
      <c r="S330" s="1209"/>
      <c r="T330" s="1138" t="s">
        <v>47</v>
      </c>
      <c r="U330" s="1138">
        <f>COUNTIF(D321:D340,"과")</f>
        <v>0</v>
      </c>
      <c r="V330" s="1139">
        <f>COUNTIF(I321:I340,"과")</f>
        <v>0</v>
      </c>
      <c r="W330" s="1138" t="s">
        <v>26</v>
      </c>
      <c r="X330" s="1138">
        <f>SUMIF(D321:D340,"과",F321:F340)</f>
        <v>0</v>
      </c>
      <c r="Y330" s="1139">
        <f>SUMIF(I321:I340,"과",K321:K340)</f>
        <v>0</v>
      </c>
      <c r="Z330" s="1164">
        <f>COUNTIF(AJ321:AJ340,"과국")+COUNTIF(AJ321:AJ340,"과공")</f>
        <v>0</v>
      </c>
      <c r="AA330" s="1165">
        <f>COUNTIF(AK321:AK340,"과국")+COUNTIF(AK321:AK340,"과공")</f>
        <v>0</v>
      </c>
      <c r="AB330" s="1164" t="s">
        <v>26</v>
      </c>
      <c r="AC330" s="1164">
        <f>SUMIF(AJ321:AJ340,"과국",F321:F340)+SUMIF(AJ321:AJ340,"과공",F321:F340)</f>
        <v>0</v>
      </c>
      <c r="AD330" s="1165">
        <f>SUMIF(AK321:AK340,"과국",K321:K340)+SUMIF(AK321:AK340,"과공",K321:K340)</f>
        <v>0</v>
      </c>
      <c r="AE330" s="1138">
        <f t="shared" si="69"/>
        <v>0</v>
      </c>
      <c r="AF330" s="1139">
        <f t="shared" si="69"/>
        <v>0</v>
      </c>
      <c r="AG330" s="1138" t="s">
        <v>26</v>
      </c>
      <c r="AH330" s="1138">
        <f t="shared" si="70"/>
        <v>0</v>
      </c>
      <c r="AI330" s="1139">
        <f t="shared" si="70"/>
        <v>0</v>
      </c>
      <c r="AJ330" s="1138" t="str">
        <f t="shared" si="71"/>
        <v/>
      </c>
      <c r="AK330" s="1138" t="str">
        <f t="shared" si="72"/>
        <v/>
      </c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</row>
    <row r="331" spans="1:60" ht="24" hidden="1" customHeight="1" x14ac:dyDescent="0.15">
      <c r="A331" s="160">
        <v>311</v>
      </c>
      <c r="B331" s="235"/>
      <c r="C331" s="235"/>
      <c r="D331" s="235"/>
      <c r="E331" s="357"/>
      <c r="F331" s="357"/>
      <c r="G331" s="417"/>
      <c r="H331" s="504"/>
      <c r="I331" s="504"/>
      <c r="J331" s="417"/>
      <c r="K331" s="417"/>
      <c r="L331" s="374"/>
      <c r="M331" s="353"/>
      <c r="N331" s="526"/>
      <c r="O331" s="1214"/>
      <c r="P331" s="353"/>
      <c r="Q331" s="353"/>
      <c r="R331" s="353"/>
      <c r="S331" s="1209"/>
      <c r="T331" s="1138" t="s">
        <v>36</v>
      </c>
      <c r="U331" s="1138">
        <f>COUNTIF(D321:D340,"묘")</f>
        <v>0</v>
      </c>
      <c r="V331" s="1139">
        <f>COUNTIF(I321:I340,"묘")</f>
        <v>0</v>
      </c>
      <c r="W331" s="1138" t="s">
        <v>26</v>
      </c>
      <c r="X331" s="1138">
        <f>SUMIF(D321:D340,"묘",F321:F340)</f>
        <v>0</v>
      </c>
      <c r="Y331" s="1139">
        <f>SUMIF(I321:I340,"묘",K321:K340)</f>
        <v>0</v>
      </c>
      <c r="Z331" s="1164">
        <f>COUNTIF(AJ321:AJ340,"묘국")+COUNTIF(AJ321:AJ340,"묘공")</f>
        <v>0</v>
      </c>
      <c r="AA331" s="1165">
        <f>COUNTIF(AK321:AK340,"묘국")+COUNTIF(AK321:AK340,"묘공")</f>
        <v>0</v>
      </c>
      <c r="AB331" s="1164" t="s">
        <v>26</v>
      </c>
      <c r="AC331" s="1164">
        <f>SUMIF(AJ321:AJ340,"묘국",F321:F340)+SUMIF(AJ321:AJ340,"묘공",F321:F340)</f>
        <v>0</v>
      </c>
      <c r="AD331" s="1165">
        <f>SUMIF(AK321:AK340,"묘국",K321:K340)+SUMIF(AK321:AK340,"묘공",K321:K340)</f>
        <v>0</v>
      </c>
      <c r="AE331" s="1138">
        <f t="shared" si="69"/>
        <v>0</v>
      </c>
      <c r="AF331" s="1139">
        <f t="shared" si="69"/>
        <v>0</v>
      </c>
      <c r="AG331" s="1138" t="s">
        <v>26</v>
      </c>
      <c r="AH331" s="1138">
        <f t="shared" si="70"/>
        <v>0</v>
      </c>
      <c r="AI331" s="1139">
        <f t="shared" si="70"/>
        <v>0</v>
      </c>
      <c r="AJ331" s="1138" t="str">
        <f t="shared" si="71"/>
        <v/>
      </c>
      <c r="AK331" s="1138" t="str">
        <f t="shared" si="72"/>
        <v/>
      </c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</row>
    <row r="332" spans="1:60" ht="24" hidden="1" customHeight="1" x14ac:dyDescent="0.15">
      <c r="A332" s="160">
        <v>312</v>
      </c>
      <c r="B332" s="235"/>
      <c r="C332" s="235"/>
      <c r="D332" s="235"/>
      <c r="E332" s="357"/>
      <c r="F332" s="357"/>
      <c r="G332" s="417"/>
      <c r="H332" s="504"/>
      <c r="I332" s="504"/>
      <c r="J332" s="417"/>
      <c r="K332" s="417"/>
      <c r="L332" s="374"/>
      <c r="M332" s="353"/>
      <c r="N332" s="526"/>
      <c r="O332" s="1214"/>
      <c r="P332" s="1231"/>
      <c r="Q332" s="353"/>
      <c r="R332" s="1231"/>
      <c r="S332" s="1209"/>
      <c r="T332" s="1138" t="s">
        <v>39</v>
      </c>
      <c r="U332" s="1138">
        <f>COUNTIF(D321:D340,"수")</f>
        <v>0</v>
      </c>
      <c r="V332" s="1139">
        <f>COUNTIF(I321:I340,"수")</f>
        <v>0</v>
      </c>
      <c r="W332" s="1138" t="s">
        <v>26</v>
      </c>
      <c r="X332" s="1138">
        <f>SUMIF(D321:D340,"수",F321:F340)</f>
        <v>0</v>
      </c>
      <c r="Y332" s="1139">
        <f>SUMIF(I321:I340,"수",K321:K340)</f>
        <v>0</v>
      </c>
      <c r="Z332" s="1164">
        <f>COUNTIF(AJ321:AJ340,"수국")+COUNTIF(AJ321:AJ340,"수공")</f>
        <v>0</v>
      </c>
      <c r="AA332" s="1165">
        <f>COUNTIF(AK321:AK340,"수국")+COUNTIF(AK321:AK340,"수공")</f>
        <v>0</v>
      </c>
      <c r="AB332" s="1164" t="s">
        <v>26</v>
      </c>
      <c r="AC332" s="1164">
        <f>SUMIF(AJ321:AJ340,"수국",F321:F340)+SUMIF(AJ321:AJ340,"수공",F321:F340)</f>
        <v>0</v>
      </c>
      <c r="AD332" s="1165">
        <f>SUMIF(AK321:AK340,"수국",K321:K340)+SUMIF(AK321:AK340,"수공",K321:K340)</f>
        <v>0</v>
      </c>
      <c r="AE332" s="1138">
        <f t="shared" si="69"/>
        <v>0</v>
      </c>
      <c r="AF332" s="1139">
        <f t="shared" si="69"/>
        <v>0</v>
      </c>
      <c r="AG332" s="1138" t="s">
        <v>26</v>
      </c>
      <c r="AH332" s="1138">
        <f t="shared" si="70"/>
        <v>0</v>
      </c>
      <c r="AI332" s="1139">
        <f t="shared" si="70"/>
        <v>0</v>
      </c>
      <c r="AJ332" s="1138" t="str">
        <f t="shared" si="71"/>
        <v/>
      </c>
      <c r="AK332" s="1138" t="str">
        <f t="shared" si="72"/>
        <v/>
      </c>
    </row>
    <row r="333" spans="1:60" ht="24" hidden="1" customHeight="1" x14ac:dyDescent="0.15">
      <c r="A333" s="160">
        <v>313</v>
      </c>
      <c r="B333" s="235"/>
      <c r="C333" s="235"/>
      <c r="D333" s="235"/>
      <c r="E333" s="357"/>
      <c r="F333" s="357"/>
      <c r="G333" s="417"/>
      <c r="H333" s="504"/>
      <c r="I333" s="504"/>
      <c r="J333" s="417"/>
      <c r="K333" s="417"/>
      <c r="L333" s="374"/>
      <c r="M333" s="353"/>
      <c r="N333" s="526"/>
      <c r="O333" s="1214"/>
      <c r="P333" s="1231"/>
      <c r="Q333" s="353"/>
      <c r="R333" s="1231"/>
      <c r="S333" s="1209"/>
      <c r="T333" s="1138" t="s">
        <v>35</v>
      </c>
      <c r="U333" s="1138">
        <f>COUNTIF(D321:D340,"잡")</f>
        <v>0</v>
      </c>
      <c r="V333" s="1139">
        <f>COUNTIF(I321:I340,"잡")</f>
        <v>0</v>
      </c>
      <c r="W333" s="1138" t="s">
        <v>26</v>
      </c>
      <c r="X333" s="1138">
        <f>SUMIF(D321:D340,"잡",F321:F340)</f>
        <v>0</v>
      </c>
      <c r="Y333" s="1139">
        <f>SUMIF(I321:I340,"잡",K321:K340)</f>
        <v>0</v>
      </c>
      <c r="Z333" s="1164">
        <f>COUNTIF(AJ321:AJ340,"잡국")+COUNTIF(AJ321:AJ340,"잡공")</f>
        <v>0</v>
      </c>
      <c r="AA333" s="1165">
        <f>COUNTIF(AK321:AK340,"잡국")+COUNTIF(AK321:AK340,"잡공")</f>
        <v>0</v>
      </c>
      <c r="AB333" s="1164" t="s">
        <v>26</v>
      </c>
      <c r="AC333" s="1164">
        <f>SUMIF(AJ321:AJ340,"잡국",F321:F340)+SUMIF(AJ321:AJ340,"잡공",F321:F340)</f>
        <v>0</v>
      </c>
      <c r="AD333" s="1165">
        <f>SUMIF(AK321:AK340,"잡국",K321:K340)+SUMIF(AK321:AK340,"잡공",K321:K340)</f>
        <v>0</v>
      </c>
      <c r="AE333" s="1138">
        <f t="shared" si="69"/>
        <v>0</v>
      </c>
      <c r="AF333" s="1139">
        <f t="shared" si="69"/>
        <v>0</v>
      </c>
      <c r="AG333" s="1138" t="s">
        <v>26</v>
      </c>
      <c r="AH333" s="1138">
        <f t="shared" si="70"/>
        <v>0</v>
      </c>
      <c r="AI333" s="1139">
        <f t="shared" si="70"/>
        <v>0</v>
      </c>
      <c r="AJ333" s="1138" t="str">
        <f t="shared" si="71"/>
        <v/>
      </c>
      <c r="AK333" s="1138" t="str">
        <f t="shared" si="72"/>
        <v/>
      </c>
    </row>
    <row r="334" spans="1:60" ht="24" hidden="1" customHeight="1" x14ac:dyDescent="0.15">
      <c r="A334" s="160">
        <v>314</v>
      </c>
      <c r="B334" s="235"/>
      <c r="C334" s="235"/>
      <c r="D334" s="235"/>
      <c r="E334" s="357"/>
      <c r="F334" s="357"/>
      <c r="G334" s="417"/>
      <c r="H334" s="504"/>
      <c r="I334" s="504"/>
      <c r="J334" s="417"/>
      <c r="K334" s="417"/>
      <c r="L334" s="374"/>
      <c r="M334" s="353"/>
      <c r="N334" s="526"/>
      <c r="O334" s="1214"/>
      <c r="P334" s="1231"/>
      <c r="Q334" s="353"/>
      <c r="R334" s="1231"/>
      <c r="S334" s="1209"/>
      <c r="T334" s="1138" t="s">
        <v>221</v>
      </c>
      <c r="U334" s="1138">
        <f>COUNTIF(D321:D340,"창")</f>
        <v>0</v>
      </c>
      <c r="V334" s="1139">
        <f>COUNTIF(I321:I340,"창")</f>
        <v>0</v>
      </c>
      <c r="W334" s="1138" t="s">
        <v>26</v>
      </c>
      <c r="X334" s="1138">
        <f>SUMIF(D321:D340,"창",F321:F340)</f>
        <v>0</v>
      </c>
      <c r="Y334" s="1139">
        <f>SUMIF(I321:I340,"창",K321:K340)</f>
        <v>0</v>
      </c>
      <c r="Z334" s="1164">
        <f>COUNTIF(AJ321:AJ340,"창국")+COUNTIF(AJ321:AJ340,"창공")</f>
        <v>0</v>
      </c>
      <c r="AA334" s="1165">
        <f>COUNTIF(AK321:AK340,"창국")+COUNTIF(AK321:AK340,"창공")</f>
        <v>0</v>
      </c>
      <c r="AB334" s="1164" t="s">
        <v>26</v>
      </c>
      <c r="AC334" s="1164">
        <f>SUMIF(AJ321:AJ340,"창국",F321:F340)+SUMIF(AJ321:AJ340,"창공",F321:F340)</f>
        <v>0</v>
      </c>
      <c r="AD334" s="1165">
        <f>SUMIF(AK321:AK340,"창국",K321:K340)+SUMIF(AK321:AK340,"창공",K321:K340)</f>
        <v>0</v>
      </c>
      <c r="AE334" s="1138">
        <f t="shared" si="69"/>
        <v>0</v>
      </c>
      <c r="AF334" s="1139">
        <f t="shared" si="69"/>
        <v>0</v>
      </c>
      <c r="AG334" s="1138" t="s">
        <v>26</v>
      </c>
      <c r="AH334" s="1138">
        <f t="shared" si="70"/>
        <v>0</v>
      </c>
      <c r="AI334" s="1139">
        <f t="shared" si="70"/>
        <v>0</v>
      </c>
      <c r="AJ334" s="1138" t="str">
        <f t="shared" si="71"/>
        <v/>
      </c>
      <c r="AK334" s="1138" t="str">
        <f t="shared" si="72"/>
        <v/>
      </c>
    </row>
    <row r="335" spans="1:60" ht="24" hidden="1" customHeight="1" x14ac:dyDescent="0.15">
      <c r="A335" s="160">
        <v>315</v>
      </c>
      <c r="B335" s="235"/>
      <c r="C335" s="235"/>
      <c r="D335" s="235"/>
      <c r="E335" s="357"/>
      <c r="F335" s="357"/>
      <c r="G335" s="417"/>
      <c r="H335" s="504"/>
      <c r="I335" s="504"/>
      <c r="J335" s="417"/>
      <c r="K335" s="417"/>
      <c r="L335" s="374"/>
      <c r="M335" s="353"/>
      <c r="N335" s="526"/>
      <c r="O335" s="1214"/>
      <c r="P335" s="1231"/>
      <c r="Q335" s="353"/>
      <c r="R335" s="1231"/>
      <c r="S335" s="1209"/>
      <c r="T335" s="1138" t="s">
        <v>50</v>
      </c>
      <c r="U335" s="1138">
        <f>COUNTIF(D321:D340,"공")</f>
        <v>0</v>
      </c>
      <c r="V335" s="1139">
        <f>COUNTIF(I321:I340,"공")</f>
        <v>0</v>
      </c>
      <c r="W335" s="1138" t="s">
        <v>26</v>
      </c>
      <c r="X335" s="1138">
        <f>SUMIF(D321:D340,"공",F321:F340)</f>
        <v>0</v>
      </c>
      <c r="Y335" s="1139">
        <f>SUMIF(I321:I340,"공",K321:K340)</f>
        <v>0</v>
      </c>
      <c r="Z335" s="1164">
        <f>COUNTIF(AJ321:AJ340,"공국")+COUNTIF(AJ321:AJ340,"공공")</f>
        <v>0</v>
      </c>
      <c r="AA335" s="1165">
        <f>COUNTIF(AK321:AK340,"공국")+COUNTIF(AK321:AK340,"공공")</f>
        <v>0</v>
      </c>
      <c r="AB335" s="1164" t="s">
        <v>26</v>
      </c>
      <c r="AC335" s="1164">
        <f>SUMIF(AJ321:AJ340,"공국",F321:F340)+SUMIF(AJ321:AJ340,"공공",F321:F340)</f>
        <v>0</v>
      </c>
      <c r="AD335" s="1165">
        <f>SUMIF(AK321:AK340,"공국",K321:K340)+SUMIF(AK321:AK340,"공공",K321:K340)</f>
        <v>0</v>
      </c>
      <c r="AE335" s="1138">
        <f t="shared" si="69"/>
        <v>0</v>
      </c>
      <c r="AF335" s="1139">
        <f t="shared" si="69"/>
        <v>0</v>
      </c>
      <c r="AG335" s="1138" t="s">
        <v>26</v>
      </c>
      <c r="AH335" s="1138">
        <f t="shared" si="70"/>
        <v>0</v>
      </c>
      <c r="AI335" s="1139">
        <f t="shared" si="70"/>
        <v>0</v>
      </c>
      <c r="AJ335" s="1138" t="str">
        <f t="shared" si="71"/>
        <v/>
      </c>
      <c r="AK335" s="1138" t="str">
        <f t="shared" si="72"/>
        <v/>
      </c>
    </row>
    <row r="336" spans="1:60" ht="24" hidden="1" customHeight="1" x14ac:dyDescent="0.15">
      <c r="A336" s="160">
        <v>316</v>
      </c>
      <c r="B336" s="235"/>
      <c r="C336" s="235"/>
      <c r="D336" s="235"/>
      <c r="E336" s="357"/>
      <c r="F336" s="357"/>
      <c r="G336" s="417"/>
      <c r="H336" s="504"/>
      <c r="I336" s="504"/>
      <c r="J336" s="417"/>
      <c r="K336" s="417"/>
      <c r="L336" s="374"/>
      <c r="M336" s="353"/>
      <c r="N336" s="526"/>
      <c r="O336" s="1214"/>
      <c r="P336" s="1231"/>
      <c r="Q336" s="353"/>
      <c r="R336" s="1231"/>
      <c r="S336" s="1209"/>
      <c r="T336" s="1142" t="s">
        <v>40</v>
      </c>
      <c r="U336" s="1138">
        <f>COUNTIF(D321:D340,"장")</f>
        <v>0</v>
      </c>
      <c r="V336" s="1139">
        <f>COUNTIF(I321:I340,"장")</f>
        <v>0</v>
      </c>
      <c r="W336" s="1138" t="s">
        <v>26</v>
      </c>
      <c r="X336" s="1138">
        <f>SUMIF(D321:D340,"장",F321:F340)</f>
        <v>0</v>
      </c>
      <c r="Y336" s="1139">
        <f>SUMIF(I321:I340,"장",K321:K340)</f>
        <v>0</v>
      </c>
      <c r="Z336" s="1164">
        <f>COUNTIF(AJ321:AJ340,"장국")+COUNTIF(AJ321:AJ340,"장공")</f>
        <v>0</v>
      </c>
      <c r="AA336" s="1165">
        <f>COUNTIF(AK321:AK340,"장국")+COUNTIF(AK321:AK340,"장공")</f>
        <v>0</v>
      </c>
      <c r="AB336" s="1164" t="s">
        <v>26</v>
      </c>
      <c r="AC336" s="1164">
        <f>SUMIF(AJ321:AJ340,"장국",F321:F340)+SUMIF(AJ321:AJ340,"장공",F321:F340)</f>
        <v>0</v>
      </c>
      <c r="AD336" s="1165">
        <f>SUMIF(AK321:AK340,"장국",K321:K340)+SUMIF(AK321:AK340,"장공",K321:K340)</f>
        <v>0</v>
      </c>
      <c r="AE336" s="1138">
        <f t="shared" si="69"/>
        <v>0</v>
      </c>
      <c r="AF336" s="1139">
        <f t="shared" si="69"/>
        <v>0</v>
      </c>
      <c r="AG336" s="1138" t="s">
        <v>26</v>
      </c>
      <c r="AH336" s="1138">
        <f t="shared" si="70"/>
        <v>0</v>
      </c>
      <c r="AI336" s="1139">
        <f t="shared" si="70"/>
        <v>0</v>
      </c>
      <c r="AJ336" s="1138" t="str">
        <f t="shared" si="71"/>
        <v/>
      </c>
      <c r="AK336" s="1138" t="str">
        <f t="shared" si="72"/>
        <v/>
      </c>
    </row>
    <row r="337" spans="1:60" ht="24" hidden="1" customHeight="1" x14ac:dyDescent="0.15">
      <c r="A337" s="160">
        <v>317</v>
      </c>
      <c r="B337" s="235"/>
      <c r="C337" s="235"/>
      <c r="D337" s="235"/>
      <c r="E337" s="357"/>
      <c r="F337" s="357"/>
      <c r="G337" s="417"/>
      <c r="H337" s="504"/>
      <c r="I337" s="504"/>
      <c r="J337" s="417"/>
      <c r="K337" s="417"/>
      <c r="L337" s="374"/>
      <c r="M337" s="353"/>
      <c r="N337" s="526"/>
      <c r="O337" s="1214"/>
      <c r="P337" s="1231"/>
      <c r="Q337" s="353"/>
      <c r="R337" s="1231"/>
      <c r="S337" s="1209"/>
      <c r="T337" s="1142" t="s">
        <v>5</v>
      </c>
      <c r="U337" s="1138">
        <f>COUNTIF(D321:D340,"목")</f>
        <v>0</v>
      </c>
      <c r="V337" s="1139">
        <f>COUNTIF(I321:I340,"목")</f>
        <v>0</v>
      </c>
      <c r="W337" s="1138" t="s">
        <v>26</v>
      </c>
      <c r="X337" s="1138">
        <f>SUMIF(D321:D340,"목",F321:F340)</f>
        <v>0</v>
      </c>
      <c r="Y337" s="1139">
        <f>SUMIF(I321:I340,"목",K321:K340)</f>
        <v>0</v>
      </c>
      <c r="Z337" s="1164">
        <f>COUNTIF(AJ321:AJ340,"목국")+COUNTIF(AJ321:AJ340,"목공")</f>
        <v>0</v>
      </c>
      <c r="AA337" s="1165">
        <f>COUNTIF(AK321:AK340,"목국")+COUNTIF(AK321:AK340,"목공")</f>
        <v>0</v>
      </c>
      <c r="AB337" s="1164" t="s">
        <v>26</v>
      </c>
      <c r="AC337" s="1164">
        <f>SUMIF(AJ321:AJ340,"목국",F321:F340)+SUMIF(AJ321:AJ340,"목공",F321:F340)</f>
        <v>0</v>
      </c>
      <c r="AD337" s="1165">
        <f>SUMIF(AK321:AK340,"목국",K321:K340)+SUMIF(AK321:AK340,"목공",K321:K340)</f>
        <v>0</v>
      </c>
      <c r="AE337" s="1138">
        <f t="shared" si="69"/>
        <v>0</v>
      </c>
      <c r="AF337" s="1139">
        <f t="shared" si="69"/>
        <v>0</v>
      </c>
      <c r="AG337" s="1138" t="s">
        <v>26</v>
      </c>
      <c r="AH337" s="1138">
        <f t="shared" si="70"/>
        <v>0</v>
      </c>
      <c r="AI337" s="1139">
        <f t="shared" si="70"/>
        <v>0</v>
      </c>
      <c r="AJ337" s="1138" t="str">
        <f t="shared" si="71"/>
        <v/>
      </c>
      <c r="AK337" s="1138" t="str">
        <f t="shared" si="72"/>
        <v/>
      </c>
    </row>
    <row r="338" spans="1:60" ht="24" hidden="1" customHeight="1" x14ac:dyDescent="0.15">
      <c r="A338" s="160">
        <v>318</v>
      </c>
      <c r="B338" s="235"/>
      <c r="C338" s="235"/>
      <c r="D338" s="235"/>
      <c r="E338" s="357"/>
      <c r="F338" s="357"/>
      <c r="G338" s="417"/>
      <c r="H338" s="504"/>
      <c r="I338" s="504"/>
      <c r="J338" s="417"/>
      <c r="K338" s="417"/>
      <c r="L338" s="374"/>
      <c r="M338" s="353"/>
      <c r="N338" s="526"/>
      <c r="O338" s="1214"/>
      <c r="P338" s="1231"/>
      <c r="Q338" s="353"/>
      <c r="R338" s="1231"/>
      <c r="S338" s="1209"/>
      <c r="T338" s="1142"/>
      <c r="U338" s="1142"/>
      <c r="V338" s="1143"/>
      <c r="W338" s="1142"/>
      <c r="X338" s="1142"/>
      <c r="Y338" s="1143"/>
      <c r="Z338" s="1164"/>
      <c r="AA338" s="1165"/>
      <c r="AB338" s="1173"/>
      <c r="AC338" s="1164"/>
      <c r="AD338" s="1165"/>
      <c r="AE338" s="1142"/>
      <c r="AF338" s="1143"/>
      <c r="AG338" s="1142"/>
      <c r="AH338" s="1142"/>
      <c r="AI338" s="1143"/>
      <c r="AJ338" s="1138" t="str">
        <f t="shared" si="71"/>
        <v/>
      </c>
      <c r="AK338" s="1138" t="str">
        <f t="shared" si="72"/>
        <v/>
      </c>
    </row>
    <row r="339" spans="1:60" ht="24" hidden="1" customHeight="1" x14ac:dyDescent="0.15">
      <c r="A339" s="160">
        <v>319</v>
      </c>
      <c r="B339" s="235"/>
      <c r="C339" s="235"/>
      <c r="D339" s="235"/>
      <c r="E339" s="357"/>
      <c r="F339" s="357"/>
      <c r="G339" s="417"/>
      <c r="H339" s="504"/>
      <c r="I339" s="504"/>
      <c r="J339" s="417"/>
      <c r="K339" s="417"/>
      <c r="L339" s="374"/>
      <c r="M339" s="353"/>
      <c r="N339" s="526"/>
      <c r="O339" s="1214"/>
      <c r="P339" s="1231"/>
      <c r="Q339" s="353"/>
      <c r="R339" s="1231"/>
      <c r="S339" s="1233"/>
      <c r="T339" s="1142"/>
      <c r="U339" s="1142"/>
      <c r="V339" s="1143"/>
      <c r="W339" s="1142"/>
      <c r="X339" s="1142"/>
      <c r="Y339" s="1143"/>
      <c r="Z339" s="1164"/>
      <c r="AA339" s="1165"/>
      <c r="AB339" s="1173"/>
      <c r="AC339" s="1164"/>
      <c r="AD339" s="1165"/>
      <c r="AE339" s="1142"/>
      <c r="AF339" s="1143"/>
      <c r="AG339" s="1142"/>
      <c r="AH339" s="1142"/>
      <c r="AI339" s="1143"/>
      <c r="AJ339" s="1138" t="str">
        <f t="shared" si="71"/>
        <v/>
      </c>
      <c r="AK339" s="1138" t="str">
        <f t="shared" si="72"/>
        <v/>
      </c>
    </row>
    <row r="340" spans="1:60" ht="24" hidden="1" customHeight="1" x14ac:dyDescent="0.15">
      <c r="A340" s="160">
        <v>320</v>
      </c>
      <c r="B340" s="235"/>
      <c r="C340" s="235"/>
      <c r="D340" s="235"/>
      <c r="E340" s="357"/>
      <c r="F340" s="357"/>
      <c r="G340" s="417"/>
      <c r="H340" s="504"/>
      <c r="I340" s="504"/>
      <c r="J340" s="417"/>
      <c r="K340" s="417"/>
      <c r="L340" s="374"/>
      <c r="M340" s="353"/>
      <c r="N340" s="526"/>
      <c r="O340" s="1214"/>
      <c r="P340" s="1231"/>
      <c r="Q340" s="353"/>
      <c r="R340" s="1231"/>
      <c r="S340" s="1233"/>
      <c r="T340" s="1144" t="s">
        <v>37</v>
      </c>
      <c r="U340" s="1144">
        <f>COUNTIF(D321:D340,"철")</f>
        <v>0</v>
      </c>
      <c r="V340" s="1145">
        <f>COUNTIF(I321:I340,"철")</f>
        <v>0</v>
      </c>
      <c r="W340" s="1144" t="s">
        <v>26</v>
      </c>
      <c r="X340" s="1144">
        <f>SUMIF(D321:D340,"철",F321:F340)</f>
        <v>0</v>
      </c>
      <c r="Y340" s="1145">
        <f>SUMIF(I321:I340,"철",K321:K340)</f>
        <v>0</v>
      </c>
      <c r="Z340" s="1164">
        <f>COUNTIF(AJ321:AJ340,"철국")+COUNTIF(AJ321:AJ340,"철공")</f>
        <v>0</v>
      </c>
      <c r="AA340" s="1165">
        <f>COUNTIF(AK321:AK340,"철국")+COUNTIF(AK321:AK340,"철공")</f>
        <v>0</v>
      </c>
      <c r="AB340" s="1174" t="s">
        <v>26</v>
      </c>
      <c r="AC340" s="1164">
        <f>SUMIF(AJ321:AJ340,"철국",F321:F340)+SUMIF(AJ321:AJ340,"철공",F321:F340)</f>
        <v>0</v>
      </c>
      <c r="AD340" s="1165">
        <f>SUMIF(AK321:AK340,"철국",K321:K340)+SUMIF(AK321:AK340,"철공",K321:K340)</f>
        <v>0</v>
      </c>
      <c r="AE340" s="1144"/>
      <c r="AF340" s="1145"/>
      <c r="AG340" s="1144"/>
      <c r="AH340" s="1144"/>
      <c r="AI340" s="1145"/>
      <c r="AJ340" s="1138" t="str">
        <f t="shared" si="71"/>
        <v/>
      </c>
      <c r="AK340" s="1138" t="str">
        <f t="shared" si="72"/>
        <v/>
      </c>
    </row>
    <row r="341" spans="1:60" ht="24" hidden="1" customHeight="1" thickBot="1" x14ac:dyDescent="0.2">
      <c r="A341" s="1215" t="s">
        <v>48</v>
      </c>
      <c r="B341" s="1216"/>
      <c r="C341" s="1216"/>
      <c r="D341" s="1216"/>
      <c r="E341" s="1217"/>
      <c r="F341" s="1148">
        <f>SUM(F321:F340)</f>
        <v>0</v>
      </c>
      <c r="G341" s="1218"/>
      <c r="H341" s="1219"/>
      <c r="I341" s="1219"/>
      <c r="J341" s="1218"/>
      <c r="K341" s="1202">
        <f>SUM(K321:K340)</f>
        <v>0</v>
      </c>
      <c r="L341" s="1220"/>
      <c r="M341" s="1221"/>
      <c r="N341" s="1222"/>
      <c r="O341" s="1223"/>
      <c r="P341" s="1234"/>
      <c r="Q341" s="1234"/>
      <c r="R341" s="1234"/>
      <c r="S341" s="1235"/>
      <c r="T341" s="1156" t="s">
        <v>24</v>
      </c>
      <c r="U341" s="1157">
        <f t="shared" ref="U341:AA341" si="73">SUM(U321:U340)</f>
        <v>0</v>
      </c>
      <c r="V341" s="1157">
        <f t="shared" si="73"/>
        <v>0</v>
      </c>
      <c r="W341" s="1157">
        <f t="shared" si="73"/>
        <v>0</v>
      </c>
      <c r="X341" s="1157">
        <f t="shared" si="73"/>
        <v>0</v>
      </c>
      <c r="Y341" s="1157">
        <f t="shared" si="73"/>
        <v>0</v>
      </c>
      <c r="Z341" s="1164">
        <f t="shared" si="73"/>
        <v>0</v>
      </c>
      <c r="AA341" s="1165">
        <f t="shared" si="73"/>
        <v>0</v>
      </c>
      <c r="AB341" s="1164" t="s">
        <v>26</v>
      </c>
      <c r="AC341" s="1164">
        <f>SUM(AC321:AC340)</f>
        <v>0</v>
      </c>
      <c r="AD341" s="1165">
        <f>SUM(AD321:AD340)</f>
        <v>0</v>
      </c>
      <c r="AE341" s="1157">
        <f>SUM(AE321:AE340)</f>
        <v>0</v>
      </c>
      <c r="AF341" s="1157">
        <f>SUM(AF321:AF340)</f>
        <v>0</v>
      </c>
      <c r="AG341" s="1157" t="s">
        <v>26</v>
      </c>
      <c r="AH341" s="1157">
        <f>SUM(AH321:AH340)</f>
        <v>0</v>
      </c>
      <c r="AI341" s="1157">
        <f>SUM(AI321:AI340)</f>
        <v>0</v>
      </c>
      <c r="AJ341" s="1157"/>
      <c r="AK341" s="1134"/>
      <c r="AL341" s="66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</row>
    <row r="342" spans="1:60" ht="24" hidden="1" customHeight="1" x14ac:dyDescent="0.15">
      <c r="A342" s="159">
        <v>321</v>
      </c>
      <c r="B342" s="270"/>
      <c r="C342" s="270"/>
      <c r="D342" s="270"/>
      <c r="E342" s="369"/>
      <c r="F342" s="369"/>
      <c r="G342" s="488"/>
      <c r="H342" s="1225"/>
      <c r="I342" s="1225"/>
      <c r="J342" s="488"/>
      <c r="K342" s="488"/>
      <c r="L342" s="1226"/>
      <c r="M342" s="1210"/>
      <c r="N342" s="1227"/>
      <c r="O342" s="1228"/>
      <c r="P342" s="1210"/>
      <c r="Q342" s="1210"/>
      <c r="R342" s="1210"/>
      <c r="S342" s="1211"/>
      <c r="T342" s="1138" t="s">
        <v>27</v>
      </c>
      <c r="U342" s="1138">
        <f>COUNTIF(D342:D361,"전")</f>
        <v>0</v>
      </c>
      <c r="V342" s="1139">
        <f>COUNTIF(I342:I361,"전")</f>
        <v>0</v>
      </c>
      <c r="W342" s="1138" t="s">
        <v>26</v>
      </c>
      <c r="X342" s="1138">
        <f>SUMIF(D342:D361,"전",F342:F361)</f>
        <v>0</v>
      </c>
      <c r="Y342" s="1139">
        <f>SUMIF(I342:I361,"전",K342:K361)</f>
        <v>0</v>
      </c>
      <c r="Z342" s="1164">
        <f>COUNTIF(AJ342:AJ361,"전국")+COUNTIF(AJ342:AJ361,"전공")</f>
        <v>0</v>
      </c>
      <c r="AA342" s="1165">
        <f>COUNTIF(AK342:AK361,"전국")+COUNTIF(AK342:AK361,"전공")</f>
        <v>0</v>
      </c>
      <c r="AB342" s="1164" t="s">
        <v>26</v>
      </c>
      <c r="AC342" s="1164">
        <f>SUMIF(AJ342:AJ361,"전국",F342:F361)+SUMIF(AJ342:AJ361,"전공",F342:F361)</f>
        <v>0</v>
      </c>
      <c r="AD342" s="1165">
        <f>SUMIF(AK342:AK361,"전국",K342:K361)+SUMIF(AK342:AK361,"전공",K342:K361)</f>
        <v>0</v>
      </c>
      <c r="AE342" s="1138">
        <f t="shared" ref="AE342:AF358" si="74">U342-Z342</f>
        <v>0</v>
      </c>
      <c r="AF342" s="1139">
        <f t="shared" si="74"/>
        <v>0</v>
      </c>
      <c r="AG342" s="1138" t="s">
        <v>26</v>
      </c>
      <c r="AH342" s="1138">
        <f t="shared" ref="AH342:AI358" si="75">X342-AC342</f>
        <v>0</v>
      </c>
      <c r="AI342" s="1139">
        <f t="shared" si="75"/>
        <v>0</v>
      </c>
      <c r="AJ342" s="1138" t="str">
        <f t="shared" ref="AJ342:AJ361" si="76">CONCATENATE(D342,L342)</f>
        <v/>
      </c>
      <c r="AK342" s="1138" t="str">
        <f t="shared" ref="AK342:AK361" si="77">CONCATENATE(I342,L342)</f>
        <v/>
      </c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</row>
    <row r="343" spans="1:60" ht="24" hidden="1" customHeight="1" x14ac:dyDescent="0.15">
      <c r="A343" s="160">
        <v>322</v>
      </c>
      <c r="B343" s="235"/>
      <c r="C343" s="235"/>
      <c r="D343" s="235"/>
      <c r="E343" s="357"/>
      <c r="F343" s="357"/>
      <c r="G343" s="417"/>
      <c r="H343" s="504"/>
      <c r="I343" s="504"/>
      <c r="J343" s="417"/>
      <c r="K343" s="417"/>
      <c r="L343" s="374"/>
      <c r="M343" s="353"/>
      <c r="N343" s="526"/>
      <c r="O343" s="1214"/>
      <c r="P343" s="353"/>
      <c r="Q343" s="353"/>
      <c r="R343" s="353"/>
      <c r="S343" s="1209"/>
      <c r="T343" s="1138" t="s">
        <v>28</v>
      </c>
      <c r="U343" s="1138">
        <f>COUNTIF(D342:D361,"답")</f>
        <v>0</v>
      </c>
      <c r="V343" s="1139">
        <f>COUNTIF(I342:I361,"답")</f>
        <v>0</v>
      </c>
      <c r="W343" s="1138" t="s">
        <v>26</v>
      </c>
      <c r="X343" s="1138">
        <f>SUMIF(D342:D361,"답",F342:F361)</f>
        <v>0</v>
      </c>
      <c r="Y343" s="1139">
        <f>SUMIF(I342:I361,"답",K342:K361)</f>
        <v>0</v>
      </c>
      <c r="Z343" s="1164">
        <f>COUNTIF(AJ342:AJ361,"답국")+COUNTIF(AJ342:AJ361,"답공")</f>
        <v>0</v>
      </c>
      <c r="AA343" s="1165">
        <f>COUNTIF(AK342:AK361,"답국")+COUNTIF(AK342:AK361,"답공")</f>
        <v>0</v>
      </c>
      <c r="AB343" s="1164" t="s">
        <v>26</v>
      </c>
      <c r="AC343" s="1164">
        <f>SUMIF(AJ342:AJ361,"답국",F342:F361)+SUMIF(AJ342:AJ361,"답공",F342:F361)</f>
        <v>0</v>
      </c>
      <c r="AD343" s="1165">
        <f>SUMIF(AK342:AK361,"답국",K342:K361)+SUMIF(AK342:AK361,"답공",K342:K361)</f>
        <v>0</v>
      </c>
      <c r="AE343" s="1138">
        <f t="shared" si="74"/>
        <v>0</v>
      </c>
      <c r="AF343" s="1139">
        <f t="shared" si="74"/>
        <v>0</v>
      </c>
      <c r="AG343" s="1138" t="s">
        <v>26</v>
      </c>
      <c r="AH343" s="1138">
        <f t="shared" si="75"/>
        <v>0</v>
      </c>
      <c r="AI343" s="1139">
        <f t="shared" si="75"/>
        <v>0</v>
      </c>
      <c r="AJ343" s="1138" t="str">
        <f t="shared" si="76"/>
        <v/>
      </c>
      <c r="AK343" s="1138" t="str">
        <f t="shared" si="77"/>
        <v/>
      </c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</row>
    <row r="344" spans="1:60" ht="24" hidden="1" customHeight="1" x14ac:dyDescent="0.15">
      <c r="A344" s="160">
        <v>323</v>
      </c>
      <c r="B344" s="235"/>
      <c r="C344" s="235"/>
      <c r="D344" s="235"/>
      <c r="E344" s="357"/>
      <c r="F344" s="357"/>
      <c r="G344" s="417"/>
      <c r="H344" s="504"/>
      <c r="I344" s="504"/>
      <c r="J344" s="417"/>
      <c r="K344" s="417"/>
      <c r="L344" s="374"/>
      <c r="M344" s="353"/>
      <c r="N344" s="526"/>
      <c r="O344" s="1214"/>
      <c r="P344" s="353"/>
      <c r="Q344" s="353"/>
      <c r="R344" s="353"/>
      <c r="S344" s="1233"/>
      <c r="T344" s="1138" t="s">
        <v>44</v>
      </c>
      <c r="U344" s="1138">
        <f>COUNTIF(D342:D361,"임")</f>
        <v>0</v>
      </c>
      <c r="V344" s="1139">
        <f>COUNTIF(I342:I361,"임")</f>
        <v>0</v>
      </c>
      <c r="W344" s="1138" t="s">
        <v>26</v>
      </c>
      <c r="X344" s="1138">
        <f>SUMIF(D342:D361,"임",F342:F361)</f>
        <v>0</v>
      </c>
      <c r="Y344" s="1139">
        <f>SUMIF(I342:I361,"임",K342:K361)</f>
        <v>0</v>
      </c>
      <c r="Z344" s="1164">
        <f>COUNTIF(AJ342:AJ361,"임국")+COUNTIF(AJ342:AJ361,"임공")</f>
        <v>0</v>
      </c>
      <c r="AA344" s="1165">
        <f>COUNTIF(AK342:AK361,"임국")+COUNTIF(AK342:AK361,"임공")</f>
        <v>0</v>
      </c>
      <c r="AB344" s="1164" t="s">
        <v>26</v>
      </c>
      <c r="AC344" s="1164">
        <f>SUMIF(AJ342:AJ361,"임국",F342:F361)+SUMIF(AJ342:AJ361,"임공",F342:F361)</f>
        <v>0</v>
      </c>
      <c r="AD344" s="1165">
        <f>SUMIF(AK342:AK361,"임국",K342:K361)+SUMIF(AK342:AK361,"임공",K342:K361)</f>
        <v>0</v>
      </c>
      <c r="AE344" s="1138">
        <f t="shared" si="74"/>
        <v>0</v>
      </c>
      <c r="AF344" s="1139">
        <f t="shared" si="74"/>
        <v>0</v>
      </c>
      <c r="AG344" s="1138" t="s">
        <v>26</v>
      </c>
      <c r="AH344" s="1138">
        <f t="shared" si="75"/>
        <v>0</v>
      </c>
      <c r="AI344" s="1139">
        <f t="shared" si="75"/>
        <v>0</v>
      </c>
      <c r="AJ344" s="1138" t="str">
        <f t="shared" si="76"/>
        <v/>
      </c>
      <c r="AK344" s="1138" t="str">
        <f t="shared" si="77"/>
        <v/>
      </c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</row>
    <row r="345" spans="1:60" ht="24" hidden="1" customHeight="1" x14ac:dyDescent="0.15">
      <c r="A345" s="160">
        <v>324</v>
      </c>
      <c r="B345" s="235"/>
      <c r="C345" s="235"/>
      <c r="D345" s="235"/>
      <c r="E345" s="357"/>
      <c r="F345" s="357"/>
      <c r="G345" s="417"/>
      <c r="H345" s="504"/>
      <c r="I345" s="504"/>
      <c r="J345" s="417"/>
      <c r="K345" s="417"/>
      <c r="L345" s="374"/>
      <c r="M345" s="353"/>
      <c r="N345" s="526"/>
      <c r="O345" s="1214"/>
      <c r="P345" s="353"/>
      <c r="Q345" s="353"/>
      <c r="R345" s="353"/>
      <c r="S345" s="1209"/>
      <c r="T345" s="1138" t="s">
        <v>45</v>
      </c>
      <c r="U345" s="1138">
        <f>COUNTIF(D342:D361,"대")</f>
        <v>0</v>
      </c>
      <c r="V345" s="1139">
        <f>COUNTIF(I342:I361,"대")</f>
        <v>0</v>
      </c>
      <c r="W345" s="1138" t="s">
        <v>26</v>
      </c>
      <c r="X345" s="1138">
        <f>SUMIF(D342:D361,"대",F342:F361)</f>
        <v>0</v>
      </c>
      <c r="Y345" s="1139">
        <f>SUMIF(I342:I361,"대",K342:K361)</f>
        <v>0</v>
      </c>
      <c r="Z345" s="1164">
        <f>COUNTIF(AJ342:AJ361,"대국")+COUNTIF(AJ342:AJ361,"대공")</f>
        <v>0</v>
      </c>
      <c r="AA345" s="1165">
        <f>COUNTIF(AK342:AK361,"대국")+COUNTIF(AK342:AK361,"대공")</f>
        <v>0</v>
      </c>
      <c r="AB345" s="1164" t="s">
        <v>26</v>
      </c>
      <c r="AC345" s="1164">
        <f>SUMIF(AJ342:AJ361,"대국",F342:F361)+SUMIF(AJ342:AJ361,"대공",F342:F361)</f>
        <v>0</v>
      </c>
      <c r="AD345" s="1165">
        <f>SUMIF(AK342:AK361,"대국",K342:K361)+SUMIF(AK342:AK361,"대공",K342:K361)</f>
        <v>0</v>
      </c>
      <c r="AE345" s="1138">
        <f t="shared" si="74"/>
        <v>0</v>
      </c>
      <c r="AF345" s="1139">
        <f t="shared" si="74"/>
        <v>0</v>
      </c>
      <c r="AG345" s="1138" t="s">
        <v>26</v>
      </c>
      <c r="AH345" s="1138">
        <f t="shared" si="75"/>
        <v>0</v>
      </c>
      <c r="AI345" s="1139">
        <f t="shared" si="75"/>
        <v>0</v>
      </c>
      <c r="AJ345" s="1138" t="str">
        <f t="shared" si="76"/>
        <v/>
      </c>
      <c r="AK345" s="1138" t="str">
        <f t="shared" si="77"/>
        <v/>
      </c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</row>
    <row r="346" spans="1:60" ht="24" hidden="1" customHeight="1" x14ac:dyDescent="0.15">
      <c r="A346" s="160">
        <v>325</v>
      </c>
      <c r="B346" s="235"/>
      <c r="C346" s="235"/>
      <c r="D346" s="235"/>
      <c r="E346" s="357"/>
      <c r="F346" s="357"/>
      <c r="G346" s="417"/>
      <c r="H346" s="504"/>
      <c r="I346" s="504"/>
      <c r="J346" s="417"/>
      <c r="K346" s="417"/>
      <c r="L346" s="374"/>
      <c r="M346" s="353"/>
      <c r="N346" s="526"/>
      <c r="O346" s="1214"/>
      <c r="P346" s="353"/>
      <c r="Q346" s="353"/>
      <c r="R346" s="353"/>
      <c r="S346" s="1209"/>
      <c r="T346" s="1138" t="s">
        <v>31</v>
      </c>
      <c r="U346" s="1138">
        <f>COUNTIF(D342:D361,"도")</f>
        <v>0</v>
      </c>
      <c r="V346" s="1139">
        <f>COUNTIF(I342:I361,"도")</f>
        <v>0</v>
      </c>
      <c r="W346" s="1138" t="s">
        <v>26</v>
      </c>
      <c r="X346" s="1138">
        <f>SUMIF(D342:D361,"도",F342:F361)</f>
        <v>0</v>
      </c>
      <c r="Y346" s="1139">
        <f>SUMIF(I342:I361,"도",K342:K361)</f>
        <v>0</v>
      </c>
      <c r="Z346" s="1164">
        <f>COUNTIF(AJ342:AJ361,"도국")+COUNTIF(AJ342:AJ361,"도공")</f>
        <v>0</v>
      </c>
      <c r="AA346" s="1165">
        <f>COUNTIF(AK342:AK361,"도국")+COUNTIF(AK342:AK361,"도공")</f>
        <v>0</v>
      </c>
      <c r="AB346" s="1164" t="s">
        <v>26</v>
      </c>
      <c r="AC346" s="1164">
        <f>SUMIF(AJ342:AJ361,"도국",F342:F361)+SUMIF(AJ342:AJ361,"도공",F342:F361)</f>
        <v>0</v>
      </c>
      <c r="AD346" s="1165">
        <f>SUMIF(AK342:AK361,"도국",K342:K361)+SUMIF(AK342:AK361,"도공",K342:K361)</f>
        <v>0</v>
      </c>
      <c r="AE346" s="1138">
        <f t="shared" si="74"/>
        <v>0</v>
      </c>
      <c r="AF346" s="1139">
        <f t="shared" si="74"/>
        <v>0</v>
      </c>
      <c r="AG346" s="1138" t="s">
        <v>26</v>
      </c>
      <c r="AH346" s="1138">
        <f t="shared" si="75"/>
        <v>0</v>
      </c>
      <c r="AI346" s="1139">
        <f t="shared" si="75"/>
        <v>0</v>
      </c>
      <c r="AJ346" s="1138" t="str">
        <f t="shared" si="76"/>
        <v/>
      </c>
      <c r="AK346" s="1138" t="str">
        <f t="shared" si="77"/>
        <v/>
      </c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</row>
    <row r="347" spans="1:60" ht="24" hidden="1" customHeight="1" x14ac:dyDescent="0.15">
      <c r="A347" s="160">
        <v>326</v>
      </c>
      <c r="B347" s="235"/>
      <c r="C347" s="235"/>
      <c r="D347" s="235"/>
      <c r="E347" s="357"/>
      <c r="F347" s="357"/>
      <c r="G347" s="417"/>
      <c r="H347" s="504"/>
      <c r="I347" s="504"/>
      <c r="J347" s="417"/>
      <c r="K347" s="417"/>
      <c r="L347" s="374"/>
      <c r="M347" s="1229"/>
      <c r="N347" s="526"/>
      <c r="O347" s="1214"/>
      <c r="P347" s="353"/>
      <c r="Q347" s="353"/>
      <c r="R347" s="353"/>
      <c r="S347" s="1209"/>
      <c r="T347" s="1138" t="s">
        <v>32</v>
      </c>
      <c r="U347" s="1140">
        <f>COUNTIF(D342:D361,"천")</f>
        <v>0</v>
      </c>
      <c r="V347" s="1141">
        <f>COUNTIF(I342:I361,"천")</f>
        <v>0</v>
      </c>
      <c r="W347" s="1138" t="s">
        <v>26</v>
      </c>
      <c r="X347" s="1138">
        <f>SUMIF(D342:D361,"천",F342:F361)</f>
        <v>0</v>
      </c>
      <c r="Y347" s="1139">
        <f>SUMIF(I342:I361,"천",K342:K361)</f>
        <v>0</v>
      </c>
      <c r="Z347" s="1164">
        <f>COUNTIF(AJ342:AJ361,"천국")+COUNTIF(AJ342:AJ361,"천공")</f>
        <v>0</v>
      </c>
      <c r="AA347" s="1165">
        <f>COUNTIF(AK342:AK361,"천국")+COUNTIF(AK342:AK361,"천공")</f>
        <v>0</v>
      </c>
      <c r="AB347" s="1164" t="s">
        <v>26</v>
      </c>
      <c r="AC347" s="1164">
        <f>SUMIF(AJ342:AJ361,"천국",F342:F361)+SUMIF(AJ342:AJ361,"천공",F342:F361)</f>
        <v>0</v>
      </c>
      <c r="AD347" s="1165">
        <f>SUMIF(AK342:AK361,"천국",K342:K361)+SUMIF(AK342:AK361,"천공",K342:K361)</f>
        <v>0</v>
      </c>
      <c r="AE347" s="1138">
        <f t="shared" si="74"/>
        <v>0</v>
      </c>
      <c r="AF347" s="1139">
        <f t="shared" si="74"/>
        <v>0</v>
      </c>
      <c r="AG347" s="1138" t="s">
        <v>26</v>
      </c>
      <c r="AH347" s="1138">
        <f t="shared" si="75"/>
        <v>0</v>
      </c>
      <c r="AI347" s="1139">
        <f t="shared" si="75"/>
        <v>0</v>
      </c>
      <c r="AJ347" s="1138" t="str">
        <f t="shared" si="76"/>
        <v/>
      </c>
      <c r="AK347" s="1138" t="str">
        <f t="shared" si="77"/>
        <v/>
      </c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</row>
    <row r="348" spans="1:60" ht="24" hidden="1" customHeight="1" x14ac:dyDescent="0.15">
      <c r="A348" s="160">
        <v>327</v>
      </c>
      <c r="B348" s="235"/>
      <c r="C348" s="235"/>
      <c r="D348" s="235"/>
      <c r="E348" s="357"/>
      <c r="F348" s="357"/>
      <c r="G348" s="417"/>
      <c r="H348" s="504"/>
      <c r="I348" s="504"/>
      <c r="J348" s="417"/>
      <c r="K348" s="417"/>
      <c r="L348" s="374"/>
      <c r="M348" s="353"/>
      <c r="N348" s="526"/>
      <c r="O348" s="1214"/>
      <c r="P348" s="353"/>
      <c r="Q348" s="353"/>
      <c r="R348" s="353"/>
      <c r="S348" s="1209"/>
      <c r="T348" s="1138" t="s">
        <v>33</v>
      </c>
      <c r="U348" s="1138">
        <f>COUNTIF(D342:D361,"구")</f>
        <v>0</v>
      </c>
      <c r="V348" s="1139">
        <f>COUNTIF(I342:I361,"구")</f>
        <v>0</v>
      </c>
      <c r="W348" s="1138" t="s">
        <v>26</v>
      </c>
      <c r="X348" s="1138">
        <f>SUMIF(D342:D361,"구",F342:F361)</f>
        <v>0</v>
      </c>
      <c r="Y348" s="1139">
        <f>SUMIF(I342:I361,"구",K342:K361)</f>
        <v>0</v>
      </c>
      <c r="Z348" s="1164">
        <f>COUNTIF(AJ342:AJ361,"구국")+COUNTIF(AJ342:AJ361,"구공")</f>
        <v>0</v>
      </c>
      <c r="AA348" s="1165">
        <f>COUNTIF(AK342:AK361,"구국")+COUNTIF(AK342:AK361,"구공")</f>
        <v>0</v>
      </c>
      <c r="AB348" s="1164" t="s">
        <v>26</v>
      </c>
      <c r="AC348" s="1164">
        <f>SUMIF(AJ342:AJ361,"구국",F342:F361)+SUMIF(AJ342:AJ361,"구공",F342:F361)</f>
        <v>0</v>
      </c>
      <c r="AD348" s="1165">
        <f>SUMIF(AK342:AK361,"구국",K342:K361)+SUMIF(AK342:AK361,"구공",K342:K361)</f>
        <v>0</v>
      </c>
      <c r="AE348" s="1138">
        <f t="shared" si="74"/>
        <v>0</v>
      </c>
      <c r="AF348" s="1139">
        <f t="shared" si="74"/>
        <v>0</v>
      </c>
      <c r="AG348" s="1138" t="s">
        <v>26</v>
      </c>
      <c r="AH348" s="1138">
        <f t="shared" si="75"/>
        <v>0</v>
      </c>
      <c r="AI348" s="1139">
        <f t="shared" si="75"/>
        <v>0</v>
      </c>
      <c r="AJ348" s="1138" t="str">
        <f t="shared" si="76"/>
        <v/>
      </c>
      <c r="AK348" s="1138" t="str">
        <f t="shared" si="77"/>
        <v/>
      </c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</row>
    <row r="349" spans="1:60" ht="24" hidden="1" customHeight="1" x14ac:dyDescent="0.15">
      <c r="A349" s="160">
        <v>328</v>
      </c>
      <c r="B349" s="235"/>
      <c r="C349" s="235"/>
      <c r="D349" s="235"/>
      <c r="E349" s="357"/>
      <c r="F349" s="357"/>
      <c r="G349" s="417"/>
      <c r="H349" s="504"/>
      <c r="I349" s="504"/>
      <c r="J349" s="417"/>
      <c r="K349" s="417"/>
      <c r="L349" s="374"/>
      <c r="M349" s="353"/>
      <c r="N349" s="526"/>
      <c r="O349" s="1214"/>
      <c r="P349" s="353"/>
      <c r="Q349" s="353"/>
      <c r="R349" s="353"/>
      <c r="S349" s="1209"/>
      <c r="T349" s="1138" t="s">
        <v>34</v>
      </c>
      <c r="U349" s="1138">
        <f>COUNTIF(D342:D361,"제")</f>
        <v>0</v>
      </c>
      <c r="V349" s="1139">
        <f>COUNTIF(I342:I361,"제")</f>
        <v>0</v>
      </c>
      <c r="W349" s="1138" t="s">
        <v>26</v>
      </c>
      <c r="X349" s="1138">
        <f>SUMIF(D342:D361,"제",F342:F361)</f>
        <v>0</v>
      </c>
      <c r="Y349" s="1139">
        <f>SUMIF(I342:I361,"제",K342:K361)</f>
        <v>0</v>
      </c>
      <c r="Z349" s="1164">
        <f>COUNTIF(AJ342:AJ361,"제국")+COUNTIF(AJ342:AJ361,"제공")</f>
        <v>0</v>
      </c>
      <c r="AA349" s="1165">
        <f>COUNTIF(AK342:AK361,"제국")+COUNTIF(AK342:AK361,"제공")</f>
        <v>0</v>
      </c>
      <c r="AB349" s="1164" t="s">
        <v>26</v>
      </c>
      <c r="AC349" s="1164">
        <f>SUMIF(AJ342:AJ361,"제국",F342:F361)+SUMIF(AJ342:AJ361,"제공",F342:F361)</f>
        <v>0</v>
      </c>
      <c r="AD349" s="1165">
        <f>SUMIF(AK342:AK361,"제국",K342:K361)+SUMIF(AK342:AK361,"제공",K342:K361)</f>
        <v>0</v>
      </c>
      <c r="AE349" s="1138">
        <f t="shared" si="74"/>
        <v>0</v>
      </c>
      <c r="AF349" s="1139">
        <f t="shared" si="74"/>
        <v>0</v>
      </c>
      <c r="AG349" s="1138" t="s">
        <v>26</v>
      </c>
      <c r="AH349" s="1138">
        <f t="shared" si="75"/>
        <v>0</v>
      </c>
      <c r="AI349" s="1139">
        <f t="shared" si="75"/>
        <v>0</v>
      </c>
      <c r="AJ349" s="1138" t="str">
        <f t="shared" si="76"/>
        <v/>
      </c>
      <c r="AK349" s="1138" t="str">
        <f t="shared" si="77"/>
        <v/>
      </c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</row>
    <row r="350" spans="1:60" ht="24" hidden="1" customHeight="1" x14ac:dyDescent="0.15">
      <c r="A350" s="160">
        <v>329</v>
      </c>
      <c r="B350" s="235"/>
      <c r="C350" s="235"/>
      <c r="D350" s="235"/>
      <c r="E350" s="357"/>
      <c r="F350" s="357"/>
      <c r="G350" s="417"/>
      <c r="H350" s="504"/>
      <c r="I350" s="504"/>
      <c r="J350" s="417"/>
      <c r="K350" s="417"/>
      <c r="L350" s="374"/>
      <c r="M350" s="353"/>
      <c r="N350" s="526"/>
      <c r="O350" s="1214"/>
      <c r="P350" s="353"/>
      <c r="Q350" s="353"/>
      <c r="R350" s="353"/>
      <c r="S350" s="1209"/>
      <c r="T350" s="1138" t="s">
        <v>46</v>
      </c>
      <c r="U350" s="1138">
        <f>COUNTIF(D342:D361,"유")</f>
        <v>0</v>
      </c>
      <c r="V350" s="1139">
        <f>COUNTIF(I342:I361,"유")</f>
        <v>0</v>
      </c>
      <c r="W350" s="1138" t="s">
        <v>26</v>
      </c>
      <c r="X350" s="1138">
        <f>SUMIF(D342:D361,"유",F342:F361)</f>
        <v>0</v>
      </c>
      <c r="Y350" s="1139">
        <f>SUMIF(I342:I361,"유",K342:K361)</f>
        <v>0</v>
      </c>
      <c r="Z350" s="1164">
        <f>COUNTIF(AJ342:AJ361,"유국")+COUNTIF(AJ342:AJ361,"유공")</f>
        <v>0</v>
      </c>
      <c r="AA350" s="1165">
        <f>COUNTIF(AK342:AK361,"유국")+COUNTIF(AK342:AK361,"유공")</f>
        <v>0</v>
      </c>
      <c r="AB350" s="1164" t="s">
        <v>26</v>
      </c>
      <c r="AC350" s="1164">
        <f>SUMIF(AJ342:AJ361,"유국",F342:F361)+SUMIF(AJ342:AJ361,"유공",F342:F361)</f>
        <v>0</v>
      </c>
      <c r="AD350" s="1165">
        <f>SUMIF(AK342:AK361,"유국",K342:K361)+SUMIF(AK342:AK361,"유공",K342:K361)</f>
        <v>0</v>
      </c>
      <c r="AE350" s="1138">
        <f t="shared" si="74"/>
        <v>0</v>
      </c>
      <c r="AF350" s="1139">
        <f t="shared" si="74"/>
        <v>0</v>
      </c>
      <c r="AG350" s="1138" t="s">
        <v>26</v>
      </c>
      <c r="AH350" s="1138">
        <f t="shared" si="75"/>
        <v>0</v>
      </c>
      <c r="AI350" s="1139">
        <f t="shared" si="75"/>
        <v>0</v>
      </c>
      <c r="AJ350" s="1138" t="str">
        <f t="shared" si="76"/>
        <v/>
      </c>
      <c r="AK350" s="1138" t="str">
        <f t="shared" si="77"/>
        <v/>
      </c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</row>
    <row r="351" spans="1:60" ht="24" hidden="1" customHeight="1" x14ac:dyDescent="0.15">
      <c r="A351" s="160">
        <v>330</v>
      </c>
      <c r="B351" s="235"/>
      <c r="C351" s="235"/>
      <c r="D351" s="235"/>
      <c r="E351" s="357"/>
      <c r="F351" s="357"/>
      <c r="G351" s="417"/>
      <c r="H351" s="504"/>
      <c r="I351" s="504"/>
      <c r="J351" s="417"/>
      <c r="K351" s="417"/>
      <c r="L351" s="374"/>
      <c r="M351" s="353"/>
      <c r="N351" s="526"/>
      <c r="O351" s="1214"/>
      <c r="P351" s="353"/>
      <c r="Q351" s="353"/>
      <c r="R351" s="353"/>
      <c r="S351" s="1209"/>
      <c r="T351" s="1138" t="s">
        <v>47</v>
      </c>
      <c r="U351" s="1138">
        <f>COUNTIF(D342:D361,"과")</f>
        <v>0</v>
      </c>
      <c r="V351" s="1139">
        <f>COUNTIF(I342:I361,"과")</f>
        <v>0</v>
      </c>
      <c r="W351" s="1138" t="s">
        <v>26</v>
      </c>
      <c r="X351" s="1138">
        <f>SUMIF(D342:D361,"과",F342:F361)</f>
        <v>0</v>
      </c>
      <c r="Y351" s="1139">
        <f>SUMIF(I342:I361,"과",K342:K361)</f>
        <v>0</v>
      </c>
      <c r="Z351" s="1164">
        <f>COUNTIF(AJ342:AJ361,"과국")+COUNTIF(AJ342:AJ361,"과공")</f>
        <v>0</v>
      </c>
      <c r="AA351" s="1165">
        <f>COUNTIF(AK342:AK361,"과국")+COUNTIF(AK342:AK361,"과공")</f>
        <v>0</v>
      </c>
      <c r="AB351" s="1164" t="s">
        <v>26</v>
      </c>
      <c r="AC351" s="1164">
        <f>SUMIF(AJ342:AJ361,"과국",F342:F361)+SUMIF(AJ342:AJ361,"과공",F342:F361)</f>
        <v>0</v>
      </c>
      <c r="AD351" s="1165">
        <f>SUMIF(AK342:AK361,"과국",K342:K361)+SUMIF(AK342:AK361,"과공",K342:K361)</f>
        <v>0</v>
      </c>
      <c r="AE351" s="1138">
        <f t="shared" si="74"/>
        <v>0</v>
      </c>
      <c r="AF351" s="1139">
        <f t="shared" si="74"/>
        <v>0</v>
      </c>
      <c r="AG351" s="1138" t="s">
        <v>26</v>
      </c>
      <c r="AH351" s="1138">
        <f t="shared" si="75"/>
        <v>0</v>
      </c>
      <c r="AI351" s="1139">
        <f t="shared" si="75"/>
        <v>0</v>
      </c>
      <c r="AJ351" s="1138" t="str">
        <f t="shared" si="76"/>
        <v/>
      </c>
      <c r="AK351" s="1138" t="str">
        <f t="shared" si="77"/>
        <v/>
      </c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</row>
    <row r="352" spans="1:60" ht="24" hidden="1" customHeight="1" x14ac:dyDescent="0.15">
      <c r="A352" s="160">
        <v>331</v>
      </c>
      <c r="B352" s="235"/>
      <c r="C352" s="235"/>
      <c r="D352" s="235"/>
      <c r="E352" s="357"/>
      <c r="F352" s="357"/>
      <c r="G352" s="417"/>
      <c r="H352" s="504"/>
      <c r="I352" s="504"/>
      <c r="J352" s="417"/>
      <c r="K352" s="417"/>
      <c r="L352" s="374"/>
      <c r="M352" s="353"/>
      <c r="N352" s="526"/>
      <c r="O352" s="1214"/>
      <c r="P352" s="353"/>
      <c r="Q352" s="353"/>
      <c r="R352" s="353"/>
      <c r="S352" s="1209"/>
      <c r="T352" s="1138" t="s">
        <v>36</v>
      </c>
      <c r="U352" s="1138">
        <f>COUNTIF(D342:D361,"묘")</f>
        <v>0</v>
      </c>
      <c r="V352" s="1139">
        <f>COUNTIF(I342:I361,"묘")</f>
        <v>0</v>
      </c>
      <c r="W352" s="1138" t="s">
        <v>26</v>
      </c>
      <c r="X352" s="1138">
        <f>SUMIF(D342:D361,"묘",F342:F361)</f>
        <v>0</v>
      </c>
      <c r="Y352" s="1139">
        <f>SUMIF(I342:I361,"묘",K342:K361)</f>
        <v>0</v>
      </c>
      <c r="Z352" s="1164">
        <f>COUNTIF(AJ342:AJ361,"묘국")+COUNTIF(AJ342:AJ361,"묘공")</f>
        <v>0</v>
      </c>
      <c r="AA352" s="1165">
        <f>COUNTIF(AK342:AK361,"묘국")+COUNTIF(AK342:AK361,"묘공")</f>
        <v>0</v>
      </c>
      <c r="AB352" s="1164" t="s">
        <v>26</v>
      </c>
      <c r="AC352" s="1164">
        <f>SUMIF(AJ342:AJ361,"묘국",F342:F361)+SUMIF(AJ342:AJ361,"묘공",F342:F361)</f>
        <v>0</v>
      </c>
      <c r="AD352" s="1165">
        <f>SUMIF(AK342:AK361,"묘국",K342:K361)+SUMIF(AK342:AK361,"묘공",K342:K361)</f>
        <v>0</v>
      </c>
      <c r="AE352" s="1138">
        <f t="shared" si="74"/>
        <v>0</v>
      </c>
      <c r="AF352" s="1139">
        <f t="shared" si="74"/>
        <v>0</v>
      </c>
      <c r="AG352" s="1138" t="s">
        <v>26</v>
      </c>
      <c r="AH352" s="1138">
        <f t="shared" si="75"/>
        <v>0</v>
      </c>
      <c r="AI352" s="1139">
        <f t="shared" si="75"/>
        <v>0</v>
      </c>
      <c r="AJ352" s="1138" t="str">
        <f t="shared" si="76"/>
        <v/>
      </c>
      <c r="AK352" s="1138" t="str">
        <f t="shared" si="77"/>
        <v/>
      </c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</row>
    <row r="353" spans="1:60" ht="24" hidden="1" customHeight="1" x14ac:dyDescent="0.15">
      <c r="A353" s="160">
        <v>332</v>
      </c>
      <c r="B353" s="235"/>
      <c r="C353" s="235"/>
      <c r="D353" s="235"/>
      <c r="E353" s="357"/>
      <c r="F353" s="357"/>
      <c r="G353" s="417"/>
      <c r="H353" s="504"/>
      <c r="I353" s="504"/>
      <c r="J353" s="417"/>
      <c r="K353" s="417"/>
      <c r="L353" s="374"/>
      <c r="M353" s="353"/>
      <c r="N353" s="526"/>
      <c r="O353" s="1214"/>
      <c r="P353" s="1231"/>
      <c r="Q353" s="353"/>
      <c r="R353" s="1231"/>
      <c r="S353" s="1209"/>
      <c r="T353" s="1138" t="s">
        <v>219</v>
      </c>
      <c r="U353" s="1138">
        <f>COUNTIF(D342:D361,"수")</f>
        <v>0</v>
      </c>
      <c r="V353" s="1139">
        <f>COUNTIF(I342:I361,"수")</f>
        <v>0</v>
      </c>
      <c r="W353" s="1138" t="s">
        <v>26</v>
      </c>
      <c r="X353" s="1138">
        <f>SUMIF(D342:D361,"수",F342:F361)</f>
        <v>0</v>
      </c>
      <c r="Y353" s="1139">
        <f>SUMIF(I342:I361,"수",K342:K361)</f>
        <v>0</v>
      </c>
      <c r="Z353" s="1164">
        <f>COUNTIF(AJ342:AJ361,"수국")+COUNTIF(AJ342:AJ361,"수공")</f>
        <v>0</v>
      </c>
      <c r="AA353" s="1165">
        <f>COUNTIF(AK342:AK361,"수국")+COUNTIF(AK342:AK361,"수공")</f>
        <v>0</v>
      </c>
      <c r="AB353" s="1164" t="s">
        <v>26</v>
      </c>
      <c r="AC353" s="1164">
        <f>SUMIF(AJ342:AJ361,"수국",F342:F361)+SUMIF(AJ342:AJ361,"수공",F342:F361)</f>
        <v>0</v>
      </c>
      <c r="AD353" s="1165">
        <f>SUMIF(AK342:AK361,"수국",K342:K361)+SUMIF(AK342:AK361,"수공",K342:K361)</f>
        <v>0</v>
      </c>
      <c r="AE353" s="1138">
        <f t="shared" si="74"/>
        <v>0</v>
      </c>
      <c r="AF353" s="1139">
        <f t="shared" si="74"/>
        <v>0</v>
      </c>
      <c r="AG353" s="1138" t="s">
        <v>26</v>
      </c>
      <c r="AH353" s="1138">
        <f t="shared" si="75"/>
        <v>0</v>
      </c>
      <c r="AI353" s="1139">
        <f t="shared" si="75"/>
        <v>0</v>
      </c>
      <c r="AJ353" s="1138" t="str">
        <f t="shared" si="76"/>
        <v/>
      </c>
      <c r="AK353" s="1138" t="str">
        <f t="shared" si="77"/>
        <v/>
      </c>
    </row>
    <row r="354" spans="1:60" ht="24" hidden="1" customHeight="1" x14ac:dyDescent="0.15">
      <c r="A354" s="160">
        <v>333</v>
      </c>
      <c r="B354" s="235"/>
      <c r="C354" s="235"/>
      <c r="D354" s="235"/>
      <c r="E354" s="357"/>
      <c r="F354" s="357"/>
      <c r="G354" s="417"/>
      <c r="H354" s="504"/>
      <c r="I354" s="504"/>
      <c r="J354" s="417"/>
      <c r="K354" s="417"/>
      <c r="L354" s="374"/>
      <c r="M354" s="353"/>
      <c r="N354" s="526"/>
      <c r="O354" s="1214"/>
      <c r="P354" s="1231"/>
      <c r="Q354" s="353"/>
      <c r="R354" s="1231"/>
      <c r="S354" s="1209"/>
      <c r="T354" s="1138" t="s">
        <v>35</v>
      </c>
      <c r="U354" s="1138">
        <f>COUNTIF(D342:D361,"잡")</f>
        <v>0</v>
      </c>
      <c r="V354" s="1139">
        <f>COUNTIF(I342:I361,"잡")</f>
        <v>0</v>
      </c>
      <c r="W354" s="1138" t="s">
        <v>26</v>
      </c>
      <c r="X354" s="1138">
        <f>SUMIF(D342:D361,"잡",F342:F361)</f>
        <v>0</v>
      </c>
      <c r="Y354" s="1139">
        <f>SUMIF(I342:I361,"잡",K342:K361)</f>
        <v>0</v>
      </c>
      <c r="Z354" s="1164">
        <f>COUNTIF(AJ342:AJ361,"잡국")+COUNTIF(AJ342:AJ361,"잡공")</f>
        <v>0</v>
      </c>
      <c r="AA354" s="1165">
        <f>COUNTIF(AK342:AK361,"잡국")+COUNTIF(AK342:AK361,"잡공")</f>
        <v>0</v>
      </c>
      <c r="AB354" s="1164" t="s">
        <v>26</v>
      </c>
      <c r="AC354" s="1164">
        <f>SUMIF(AJ342:AJ361,"잡국",F342:F361)+SUMIF(AJ342:AJ361,"잡공",F342:F361)</f>
        <v>0</v>
      </c>
      <c r="AD354" s="1165">
        <f>SUMIF(AK342:AK361,"잡국",K342:K361)+SUMIF(AK342:AK361,"잡공",K342:K361)</f>
        <v>0</v>
      </c>
      <c r="AE354" s="1138">
        <f t="shared" si="74"/>
        <v>0</v>
      </c>
      <c r="AF354" s="1139">
        <f t="shared" si="74"/>
        <v>0</v>
      </c>
      <c r="AG354" s="1138" t="s">
        <v>26</v>
      </c>
      <c r="AH354" s="1138">
        <f t="shared" si="75"/>
        <v>0</v>
      </c>
      <c r="AI354" s="1139">
        <f t="shared" si="75"/>
        <v>0</v>
      </c>
      <c r="AJ354" s="1138" t="str">
        <f t="shared" si="76"/>
        <v/>
      </c>
      <c r="AK354" s="1138" t="str">
        <f t="shared" si="77"/>
        <v/>
      </c>
    </row>
    <row r="355" spans="1:60" ht="24" hidden="1" customHeight="1" x14ac:dyDescent="0.15">
      <c r="A355" s="160">
        <v>334</v>
      </c>
      <c r="B355" s="235"/>
      <c r="C355" s="235"/>
      <c r="D355" s="235"/>
      <c r="E355" s="357"/>
      <c r="F355" s="357"/>
      <c r="G355" s="417"/>
      <c r="H355" s="504"/>
      <c r="I355" s="504"/>
      <c r="J355" s="417"/>
      <c r="K355" s="417"/>
      <c r="L355" s="374"/>
      <c r="M355" s="353"/>
      <c r="N355" s="526"/>
      <c r="O355" s="1214"/>
      <c r="P355" s="1231"/>
      <c r="Q355" s="353"/>
      <c r="R355" s="1231"/>
      <c r="S355" s="1209"/>
      <c r="T355" s="1138" t="s">
        <v>221</v>
      </c>
      <c r="U355" s="1138">
        <f>COUNTIF(D342:D361,"창")</f>
        <v>0</v>
      </c>
      <c r="V355" s="1139">
        <f>COUNTIF(I342:I361,"창")</f>
        <v>0</v>
      </c>
      <c r="W355" s="1138" t="s">
        <v>26</v>
      </c>
      <c r="X355" s="1138">
        <f>SUMIF(D342:D361,"창",F342:F361)</f>
        <v>0</v>
      </c>
      <c r="Y355" s="1139">
        <f>SUMIF(I342:I361,"창",K342:K361)</f>
        <v>0</v>
      </c>
      <c r="Z355" s="1164">
        <f>COUNTIF(AJ342:AJ361,"창국")+COUNTIF(AJ342:AJ361,"창공")</f>
        <v>0</v>
      </c>
      <c r="AA355" s="1165">
        <f>COUNTIF(AK342:AK361,"창국")+COUNTIF(AK342:AK361,"창공")</f>
        <v>0</v>
      </c>
      <c r="AB355" s="1164" t="s">
        <v>26</v>
      </c>
      <c r="AC355" s="1164">
        <f>SUMIF(AJ342:AJ361,"창국",F342:F361)+SUMIF(AJ342:AJ361,"창공",F342:F361)</f>
        <v>0</v>
      </c>
      <c r="AD355" s="1165">
        <f>SUMIF(AK342:AK361,"창국",K342:K361)+SUMIF(AK342:AK361,"창공",K342:K361)</f>
        <v>0</v>
      </c>
      <c r="AE355" s="1138">
        <f t="shared" si="74"/>
        <v>0</v>
      </c>
      <c r="AF355" s="1139">
        <f t="shared" si="74"/>
        <v>0</v>
      </c>
      <c r="AG355" s="1138" t="s">
        <v>26</v>
      </c>
      <c r="AH355" s="1138">
        <f t="shared" si="75"/>
        <v>0</v>
      </c>
      <c r="AI355" s="1139">
        <f t="shared" si="75"/>
        <v>0</v>
      </c>
      <c r="AJ355" s="1138" t="str">
        <f t="shared" si="76"/>
        <v/>
      </c>
      <c r="AK355" s="1138" t="str">
        <f t="shared" si="77"/>
        <v/>
      </c>
    </row>
    <row r="356" spans="1:60" ht="24" hidden="1" customHeight="1" x14ac:dyDescent="0.15">
      <c r="A356" s="160">
        <v>335</v>
      </c>
      <c r="B356" s="235"/>
      <c r="C356" s="235"/>
      <c r="D356" s="235"/>
      <c r="E356" s="357"/>
      <c r="F356" s="357"/>
      <c r="G356" s="417"/>
      <c r="H356" s="504"/>
      <c r="I356" s="504"/>
      <c r="J356" s="417"/>
      <c r="K356" s="417"/>
      <c r="L356" s="374"/>
      <c r="M356" s="353"/>
      <c r="N356" s="526"/>
      <c r="O356" s="1214"/>
      <c r="P356" s="1231"/>
      <c r="Q356" s="353"/>
      <c r="R356" s="1231"/>
      <c r="S356" s="1209"/>
      <c r="T356" s="1138" t="s">
        <v>50</v>
      </c>
      <c r="U356" s="1138">
        <f>COUNTIF(D342:D361,"공")</f>
        <v>0</v>
      </c>
      <c r="V356" s="1139">
        <f>COUNTIF(I342:I361,"공")</f>
        <v>0</v>
      </c>
      <c r="W356" s="1138" t="s">
        <v>26</v>
      </c>
      <c r="X356" s="1138">
        <f>SUMIF(D342:D361,"공",F342:F361)</f>
        <v>0</v>
      </c>
      <c r="Y356" s="1139">
        <f>SUMIF(I342:I361,"공",K342:K361)</f>
        <v>0</v>
      </c>
      <c r="Z356" s="1164">
        <f>COUNTIF(AJ342:AJ361,"공국")+COUNTIF(AJ342:AJ361,"공공")</f>
        <v>0</v>
      </c>
      <c r="AA356" s="1165">
        <f>COUNTIF(AK342:AK361,"공국")+COUNTIF(AK342:AK361,"공공")</f>
        <v>0</v>
      </c>
      <c r="AB356" s="1164" t="s">
        <v>26</v>
      </c>
      <c r="AC356" s="1164">
        <f>SUMIF(AJ342:AJ361,"공국",F342:F361)+SUMIF(AJ342:AJ361,"공공",F342:F361)</f>
        <v>0</v>
      </c>
      <c r="AD356" s="1165">
        <f>SUMIF(AK342:AK361,"공국",K342:K361)+SUMIF(AK342:AK361,"공공",K342:K361)</f>
        <v>0</v>
      </c>
      <c r="AE356" s="1138">
        <f t="shared" si="74"/>
        <v>0</v>
      </c>
      <c r="AF356" s="1139">
        <f t="shared" si="74"/>
        <v>0</v>
      </c>
      <c r="AG356" s="1138" t="s">
        <v>26</v>
      </c>
      <c r="AH356" s="1138">
        <f t="shared" si="75"/>
        <v>0</v>
      </c>
      <c r="AI356" s="1139">
        <f t="shared" si="75"/>
        <v>0</v>
      </c>
      <c r="AJ356" s="1138" t="str">
        <f t="shared" si="76"/>
        <v/>
      </c>
      <c r="AK356" s="1138" t="str">
        <f t="shared" si="77"/>
        <v/>
      </c>
    </row>
    <row r="357" spans="1:60" ht="24" hidden="1" customHeight="1" x14ac:dyDescent="0.15">
      <c r="A357" s="160">
        <v>336</v>
      </c>
      <c r="B357" s="235"/>
      <c r="C357" s="235"/>
      <c r="D357" s="235"/>
      <c r="E357" s="357"/>
      <c r="F357" s="357"/>
      <c r="G357" s="417"/>
      <c r="H357" s="504"/>
      <c r="I357" s="504"/>
      <c r="J357" s="417"/>
      <c r="K357" s="417"/>
      <c r="L357" s="374"/>
      <c r="M357" s="353"/>
      <c r="N357" s="526"/>
      <c r="O357" s="1214"/>
      <c r="P357" s="1231"/>
      <c r="Q357" s="353"/>
      <c r="R357" s="1231"/>
      <c r="S357" s="1209"/>
      <c r="T357" s="1142" t="s">
        <v>40</v>
      </c>
      <c r="U357" s="1138">
        <f>COUNTIF(D342:D361,"장")</f>
        <v>0</v>
      </c>
      <c r="V357" s="1139">
        <f>COUNTIF(I342:I361,"장")</f>
        <v>0</v>
      </c>
      <c r="W357" s="1138" t="s">
        <v>26</v>
      </c>
      <c r="X357" s="1138">
        <f>SUMIF(D342:D361,"장",F342:F361)</f>
        <v>0</v>
      </c>
      <c r="Y357" s="1139">
        <f>SUMIF(I342:I361,"장",K342:K361)</f>
        <v>0</v>
      </c>
      <c r="Z357" s="1164">
        <f>COUNTIF(AJ342:AJ361,"장국")+COUNTIF(AJ342:AJ361,"장공")</f>
        <v>0</v>
      </c>
      <c r="AA357" s="1165">
        <f>COUNTIF(AK342:AK361,"장국")+COUNTIF(AK342:AK361,"장공")</f>
        <v>0</v>
      </c>
      <c r="AB357" s="1164" t="s">
        <v>26</v>
      </c>
      <c r="AC357" s="1164">
        <f>SUMIF(AJ342:AJ361,"장국",F342:F361)+SUMIF(AJ342:AJ361,"장공",F342:F361)</f>
        <v>0</v>
      </c>
      <c r="AD357" s="1165">
        <f>SUMIF(AK342:AK361,"장국",K342:K361)+SUMIF(AK342:AK361,"장공",K342:K361)</f>
        <v>0</v>
      </c>
      <c r="AE357" s="1138">
        <f t="shared" si="74"/>
        <v>0</v>
      </c>
      <c r="AF357" s="1139">
        <f t="shared" si="74"/>
        <v>0</v>
      </c>
      <c r="AG357" s="1138" t="s">
        <v>26</v>
      </c>
      <c r="AH357" s="1138">
        <f t="shared" si="75"/>
        <v>0</v>
      </c>
      <c r="AI357" s="1139">
        <f t="shared" si="75"/>
        <v>0</v>
      </c>
      <c r="AJ357" s="1138" t="str">
        <f t="shared" si="76"/>
        <v/>
      </c>
      <c r="AK357" s="1138" t="str">
        <f t="shared" si="77"/>
        <v/>
      </c>
    </row>
    <row r="358" spans="1:60" ht="24" hidden="1" customHeight="1" x14ac:dyDescent="0.15">
      <c r="A358" s="160">
        <v>337</v>
      </c>
      <c r="B358" s="235"/>
      <c r="C358" s="235"/>
      <c r="D358" s="235"/>
      <c r="E358" s="357"/>
      <c r="F358" s="357"/>
      <c r="G358" s="417"/>
      <c r="H358" s="504"/>
      <c r="I358" s="504"/>
      <c r="J358" s="417"/>
      <c r="K358" s="417"/>
      <c r="L358" s="374"/>
      <c r="M358" s="353"/>
      <c r="N358" s="526"/>
      <c r="O358" s="1214"/>
      <c r="P358" s="1231"/>
      <c r="Q358" s="353"/>
      <c r="R358" s="1231"/>
      <c r="S358" s="1209"/>
      <c r="T358" s="1142" t="s">
        <v>5</v>
      </c>
      <c r="U358" s="1138">
        <f>COUNTIF(D342:D361,"목")</f>
        <v>0</v>
      </c>
      <c r="V358" s="1139">
        <f>COUNTIF(I342:I361,"목")</f>
        <v>0</v>
      </c>
      <c r="W358" s="1138" t="s">
        <v>26</v>
      </c>
      <c r="X358" s="1138">
        <f>SUMIF(D342:D361,"목",F342:F361)</f>
        <v>0</v>
      </c>
      <c r="Y358" s="1139">
        <f>SUMIF(I342:I361,"목",K342:K361)</f>
        <v>0</v>
      </c>
      <c r="Z358" s="1164">
        <f>COUNTIF(AJ342:AJ361,"목국")+COUNTIF(AJ342:AJ361,"목공")</f>
        <v>0</v>
      </c>
      <c r="AA358" s="1165">
        <f>COUNTIF(AK342:AK361,"목국")+COUNTIF(AK342:AK361,"목공")</f>
        <v>0</v>
      </c>
      <c r="AB358" s="1164" t="s">
        <v>26</v>
      </c>
      <c r="AC358" s="1164">
        <f>SUMIF(AJ342:AJ361,"목국",F342:F361)+SUMIF(AJ342:AJ361,"목공",F342:F361)</f>
        <v>0</v>
      </c>
      <c r="AD358" s="1165">
        <f>SUMIF(AK342:AK361,"목국",K342:K361)+SUMIF(AK342:AK361,"목공",K342:K361)</f>
        <v>0</v>
      </c>
      <c r="AE358" s="1138">
        <f t="shared" si="74"/>
        <v>0</v>
      </c>
      <c r="AF358" s="1139">
        <f t="shared" si="74"/>
        <v>0</v>
      </c>
      <c r="AG358" s="1138" t="s">
        <v>26</v>
      </c>
      <c r="AH358" s="1138">
        <f t="shared" si="75"/>
        <v>0</v>
      </c>
      <c r="AI358" s="1139">
        <f t="shared" si="75"/>
        <v>0</v>
      </c>
      <c r="AJ358" s="1138" t="str">
        <f t="shared" si="76"/>
        <v/>
      </c>
      <c r="AK358" s="1138" t="str">
        <f t="shared" si="77"/>
        <v/>
      </c>
    </row>
    <row r="359" spans="1:60" ht="24" hidden="1" customHeight="1" x14ac:dyDescent="0.15">
      <c r="A359" s="160">
        <v>338</v>
      </c>
      <c r="B359" s="235"/>
      <c r="C359" s="235"/>
      <c r="D359" s="235"/>
      <c r="E359" s="357"/>
      <c r="F359" s="357"/>
      <c r="G359" s="417"/>
      <c r="H359" s="504"/>
      <c r="I359" s="504"/>
      <c r="J359" s="417"/>
      <c r="K359" s="417"/>
      <c r="L359" s="374"/>
      <c r="M359" s="353"/>
      <c r="N359" s="526"/>
      <c r="O359" s="1214"/>
      <c r="P359" s="1231"/>
      <c r="Q359" s="353"/>
      <c r="R359" s="1231"/>
      <c r="S359" s="1209"/>
      <c r="T359" s="1142"/>
      <c r="U359" s="1142"/>
      <c r="V359" s="1143"/>
      <c r="W359" s="1142"/>
      <c r="X359" s="1142"/>
      <c r="Y359" s="1143"/>
      <c r="Z359" s="1164"/>
      <c r="AA359" s="1165"/>
      <c r="AB359" s="1173"/>
      <c r="AC359" s="1164"/>
      <c r="AD359" s="1165"/>
      <c r="AE359" s="1142"/>
      <c r="AF359" s="1143"/>
      <c r="AG359" s="1142"/>
      <c r="AH359" s="1142"/>
      <c r="AI359" s="1143"/>
      <c r="AJ359" s="1138" t="str">
        <f t="shared" si="76"/>
        <v/>
      </c>
      <c r="AK359" s="1138" t="str">
        <f t="shared" si="77"/>
        <v/>
      </c>
    </row>
    <row r="360" spans="1:60" ht="24" hidden="1" customHeight="1" x14ac:dyDescent="0.15">
      <c r="A360" s="160">
        <v>339</v>
      </c>
      <c r="B360" s="235"/>
      <c r="C360" s="235"/>
      <c r="D360" s="235"/>
      <c r="E360" s="357"/>
      <c r="F360" s="357"/>
      <c r="G360" s="417"/>
      <c r="H360" s="504"/>
      <c r="I360" s="504"/>
      <c r="J360" s="417"/>
      <c r="K360" s="417"/>
      <c r="L360" s="374"/>
      <c r="M360" s="353"/>
      <c r="N360" s="526"/>
      <c r="O360" s="1214"/>
      <c r="P360" s="1231"/>
      <c r="Q360" s="1231"/>
      <c r="R360" s="1231"/>
      <c r="S360" s="1209"/>
      <c r="T360" s="1142"/>
      <c r="U360" s="1142"/>
      <c r="V360" s="1143"/>
      <c r="W360" s="1142"/>
      <c r="X360" s="1142"/>
      <c r="Y360" s="1143"/>
      <c r="Z360" s="1164"/>
      <c r="AA360" s="1165"/>
      <c r="AB360" s="1173"/>
      <c r="AC360" s="1164"/>
      <c r="AD360" s="1165"/>
      <c r="AE360" s="1142"/>
      <c r="AF360" s="1143"/>
      <c r="AG360" s="1142"/>
      <c r="AH360" s="1142"/>
      <c r="AI360" s="1143"/>
      <c r="AJ360" s="1138" t="str">
        <f t="shared" si="76"/>
        <v/>
      </c>
      <c r="AK360" s="1138" t="str">
        <f t="shared" si="77"/>
        <v/>
      </c>
    </row>
    <row r="361" spans="1:60" ht="24" hidden="1" customHeight="1" x14ac:dyDescent="0.15">
      <c r="A361" s="160">
        <v>340</v>
      </c>
      <c r="B361" s="235"/>
      <c r="C361" s="235"/>
      <c r="D361" s="235"/>
      <c r="E361" s="357"/>
      <c r="F361" s="357"/>
      <c r="G361" s="417"/>
      <c r="H361" s="504"/>
      <c r="I361" s="504"/>
      <c r="J361" s="417"/>
      <c r="K361" s="417"/>
      <c r="L361" s="374"/>
      <c r="M361" s="353"/>
      <c r="N361" s="526"/>
      <c r="O361" s="1214"/>
      <c r="P361" s="1231"/>
      <c r="Q361" s="1231"/>
      <c r="R361" s="1231"/>
      <c r="S361" s="1209"/>
      <c r="T361" s="1144" t="s">
        <v>37</v>
      </c>
      <c r="U361" s="1144">
        <f>COUNTIF(D342:D361,"철")</f>
        <v>0</v>
      </c>
      <c r="V361" s="1145">
        <f>COUNTIF(I342:I361,"철")</f>
        <v>0</v>
      </c>
      <c r="W361" s="1144" t="s">
        <v>26</v>
      </c>
      <c r="X361" s="1144">
        <f>SUMIF(D342:D361,"철",F342:F361)</f>
        <v>0</v>
      </c>
      <c r="Y361" s="1145">
        <f>SUMIF(I342:I361,"철",K342:K361)</f>
        <v>0</v>
      </c>
      <c r="Z361" s="1164">
        <f>COUNTIF(AJ342:AJ361,"철국")+COUNTIF(AJ342:AJ361,"철공")</f>
        <v>0</v>
      </c>
      <c r="AA361" s="1165">
        <f>COUNTIF(AK342:AK361,"철국")+COUNTIF(AK342:AK361,"철공")</f>
        <v>0</v>
      </c>
      <c r="AB361" s="1174" t="s">
        <v>26</v>
      </c>
      <c r="AC361" s="1164">
        <f>SUMIF(AJ342:AJ361,"철국",F342:F361)+SUMIF(AJ342:AJ361,"철공",F342:F361)</f>
        <v>0</v>
      </c>
      <c r="AD361" s="1165">
        <f>SUMIF(AK342:AK361,"철국",K342:K361)+SUMIF(AK342:AK361,"철공",K342:K361)</f>
        <v>0</v>
      </c>
      <c r="AE361" s="1144"/>
      <c r="AF361" s="1145"/>
      <c r="AG361" s="1144"/>
      <c r="AH361" s="1144"/>
      <c r="AI361" s="1145"/>
      <c r="AJ361" s="1138" t="str">
        <f t="shared" si="76"/>
        <v/>
      </c>
      <c r="AK361" s="1138" t="str">
        <f t="shared" si="77"/>
        <v/>
      </c>
    </row>
    <row r="362" spans="1:60" ht="24" hidden="1" customHeight="1" thickBot="1" x14ac:dyDescent="0.2">
      <c r="A362" s="1215" t="s">
        <v>48</v>
      </c>
      <c r="B362" s="1216"/>
      <c r="C362" s="1216"/>
      <c r="D362" s="1216"/>
      <c r="E362" s="1217"/>
      <c r="F362" s="1148">
        <f>SUM(F342:F361)</f>
        <v>0</v>
      </c>
      <c r="G362" s="1218"/>
      <c r="H362" s="1219"/>
      <c r="I362" s="1219"/>
      <c r="J362" s="1218"/>
      <c r="K362" s="1202">
        <f>SUM(K342:K361)</f>
        <v>0</v>
      </c>
      <c r="L362" s="1220"/>
      <c r="M362" s="1221"/>
      <c r="N362" s="1222"/>
      <c r="O362" s="1223"/>
      <c r="P362" s="1234"/>
      <c r="Q362" s="1234"/>
      <c r="R362" s="1234"/>
      <c r="S362" s="1235"/>
      <c r="T362" s="1156" t="s">
        <v>24</v>
      </c>
      <c r="U362" s="1157">
        <f t="shared" ref="U362:AA362" si="78">SUM(U342:U361)</f>
        <v>0</v>
      </c>
      <c r="V362" s="1157">
        <f t="shared" si="78"/>
        <v>0</v>
      </c>
      <c r="W362" s="1157">
        <f t="shared" si="78"/>
        <v>0</v>
      </c>
      <c r="X362" s="1157">
        <f t="shared" si="78"/>
        <v>0</v>
      </c>
      <c r="Y362" s="1157">
        <f t="shared" si="78"/>
        <v>0</v>
      </c>
      <c r="Z362" s="1164">
        <f t="shared" si="78"/>
        <v>0</v>
      </c>
      <c r="AA362" s="1165">
        <f t="shared" si="78"/>
        <v>0</v>
      </c>
      <c r="AB362" s="1164" t="s">
        <v>26</v>
      </c>
      <c r="AC362" s="1164">
        <f>SUM(AC342:AC361)</f>
        <v>0</v>
      </c>
      <c r="AD362" s="1165">
        <f>SUM(AD342:AD361)</f>
        <v>0</v>
      </c>
      <c r="AE362" s="1157">
        <f>SUM(AE342:AE361)</f>
        <v>0</v>
      </c>
      <c r="AF362" s="1157">
        <f>SUM(AF342:AF361)</f>
        <v>0</v>
      </c>
      <c r="AG362" s="1157" t="s">
        <v>26</v>
      </c>
      <c r="AH362" s="1157">
        <f>SUM(AH342:AH361)</f>
        <v>0</v>
      </c>
      <c r="AI362" s="1157">
        <f>SUM(AI342:AI361)</f>
        <v>0</v>
      </c>
      <c r="AJ362" s="1157"/>
      <c r="AK362" s="1134"/>
      <c r="AL362" s="66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</row>
    <row r="363" spans="1:60" ht="24" hidden="1" customHeight="1" x14ac:dyDescent="0.15">
      <c r="A363" s="159">
        <v>341</v>
      </c>
      <c r="B363" s="270"/>
      <c r="C363" s="270"/>
      <c r="D363" s="270"/>
      <c r="E363" s="369"/>
      <c r="F363" s="369"/>
      <c r="G363" s="488"/>
      <c r="H363" s="1225"/>
      <c r="I363" s="1225"/>
      <c r="J363" s="488"/>
      <c r="K363" s="488"/>
      <c r="L363" s="1226"/>
      <c r="M363" s="1210"/>
      <c r="N363" s="1227"/>
      <c r="O363" s="1228"/>
      <c r="P363" s="1210"/>
      <c r="Q363" s="1210"/>
      <c r="R363" s="1210"/>
      <c r="S363" s="1211"/>
      <c r="T363" s="1138" t="s">
        <v>27</v>
      </c>
      <c r="U363" s="1138">
        <f>COUNTIF(D363:D382,"전")</f>
        <v>0</v>
      </c>
      <c r="V363" s="1139">
        <f>COUNTIF(I363:I382,"전")</f>
        <v>0</v>
      </c>
      <c r="W363" s="1138" t="s">
        <v>26</v>
      </c>
      <c r="X363" s="1138">
        <f>SUMIF(D363:D382,"전",F363:F382)</f>
        <v>0</v>
      </c>
      <c r="Y363" s="1139">
        <f>SUMIF(I363:I382,"전",K363:K382)</f>
        <v>0</v>
      </c>
      <c r="Z363" s="1164">
        <f>COUNTIF(AJ363:AJ382,"전국")+COUNTIF(AJ363:AJ382,"전공")</f>
        <v>0</v>
      </c>
      <c r="AA363" s="1165">
        <f>COUNTIF(AK363:AK382,"전국")+COUNTIF(AK363:AK382,"전공")</f>
        <v>0</v>
      </c>
      <c r="AB363" s="1164" t="s">
        <v>26</v>
      </c>
      <c r="AC363" s="1164">
        <f>SUMIF(AJ363:AJ382,"전국",F363:F382)+SUMIF(AJ363:AJ382,"전공",F363:F382)</f>
        <v>0</v>
      </c>
      <c r="AD363" s="1165">
        <f>SUMIF(AK363:AK382,"전국",K363:K382)+SUMIF(AK363:AK382,"전공",K363:K382)</f>
        <v>0</v>
      </c>
      <c r="AE363" s="1138">
        <f t="shared" ref="AE363:AF379" si="79">U363-Z363</f>
        <v>0</v>
      </c>
      <c r="AF363" s="1139">
        <f t="shared" si="79"/>
        <v>0</v>
      </c>
      <c r="AG363" s="1138" t="s">
        <v>26</v>
      </c>
      <c r="AH363" s="1138">
        <f t="shared" ref="AH363:AI379" si="80">X363-AC363</f>
        <v>0</v>
      </c>
      <c r="AI363" s="1139">
        <f t="shared" si="80"/>
        <v>0</v>
      </c>
      <c r="AJ363" s="1138" t="str">
        <f t="shared" ref="AJ363:AJ382" si="81">CONCATENATE(D363,L363)</f>
        <v/>
      </c>
      <c r="AK363" s="1138" t="str">
        <f t="shared" ref="AK363:AK382" si="82">CONCATENATE(I363,L363)</f>
        <v/>
      </c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</row>
    <row r="364" spans="1:60" ht="24" hidden="1" customHeight="1" x14ac:dyDescent="0.15">
      <c r="A364" s="160">
        <v>342</v>
      </c>
      <c r="B364" s="235"/>
      <c r="C364" s="235"/>
      <c r="D364" s="235"/>
      <c r="E364" s="357"/>
      <c r="F364" s="357"/>
      <c r="G364" s="417"/>
      <c r="H364" s="504"/>
      <c r="I364" s="504"/>
      <c r="J364" s="417"/>
      <c r="K364" s="417"/>
      <c r="L364" s="374"/>
      <c r="M364" s="353"/>
      <c r="N364" s="526"/>
      <c r="O364" s="1214"/>
      <c r="P364" s="353"/>
      <c r="Q364" s="353"/>
      <c r="R364" s="353"/>
      <c r="S364" s="1209"/>
      <c r="T364" s="1138" t="s">
        <v>28</v>
      </c>
      <c r="U364" s="1138">
        <f>COUNTIF(D363:D382,"답")</f>
        <v>0</v>
      </c>
      <c r="V364" s="1139">
        <f>COUNTIF(I363:I382,"답")</f>
        <v>0</v>
      </c>
      <c r="W364" s="1138" t="s">
        <v>26</v>
      </c>
      <c r="X364" s="1138">
        <f>SUMIF(D363:D382,"답",F363:F382)</f>
        <v>0</v>
      </c>
      <c r="Y364" s="1139">
        <f>SUMIF(I363:I382,"답",K363:K382)</f>
        <v>0</v>
      </c>
      <c r="Z364" s="1164">
        <f>COUNTIF(AJ363:AJ382,"답국")+COUNTIF(AJ363:AJ382,"답공")</f>
        <v>0</v>
      </c>
      <c r="AA364" s="1165">
        <f>COUNTIF(AK363:AK382,"답국")+COUNTIF(AK363:AK382,"답공")</f>
        <v>0</v>
      </c>
      <c r="AB364" s="1164" t="s">
        <v>26</v>
      </c>
      <c r="AC364" s="1164">
        <f>SUMIF(AJ363:AJ382,"답국",F363:F382)+SUMIF(AJ363:AJ382,"답공",F363:F382)</f>
        <v>0</v>
      </c>
      <c r="AD364" s="1165">
        <f>SUMIF(AK363:AK382,"답국",K363:K382)+SUMIF(AK363:AK382,"답공",K363:K382)</f>
        <v>0</v>
      </c>
      <c r="AE364" s="1138">
        <f t="shared" si="79"/>
        <v>0</v>
      </c>
      <c r="AF364" s="1139">
        <f t="shared" si="79"/>
        <v>0</v>
      </c>
      <c r="AG364" s="1138" t="s">
        <v>26</v>
      </c>
      <c r="AH364" s="1138">
        <f t="shared" si="80"/>
        <v>0</v>
      </c>
      <c r="AI364" s="1139">
        <f t="shared" si="80"/>
        <v>0</v>
      </c>
      <c r="AJ364" s="1138" t="str">
        <f t="shared" si="81"/>
        <v/>
      </c>
      <c r="AK364" s="1138" t="str">
        <f t="shared" si="82"/>
        <v/>
      </c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</row>
    <row r="365" spans="1:60" ht="24" hidden="1" customHeight="1" x14ac:dyDescent="0.15">
      <c r="A365" s="160">
        <v>343</v>
      </c>
      <c r="B365" s="235"/>
      <c r="C365" s="235"/>
      <c r="D365" s="235"/>
      <c r="E365" s="357"/>
      <c r="F365" s="357"/>
      <c r="G365" s="417"/>
      <c r="H365" s="504"/>
      <c r="I365" s="504"/>
      <c r="J365" s="417"/>
      <c r="K365" s="417"/>
      <c r="L365" s="374"/>
      <c r="M365" s="353"/>
      <c r="N365" s="526"/>
      <c r="O365" s="1214"/>
      <c r="P365" s="353"/>
      <c r="Q365" s="353"/>
      <c r="R365" s="353"/>
      <c r="S365" s="1209"/>
      <c r="T365" s="1138" t="s">
        <v>44</v>
      </c>
      <c r="U365" s="1138">
        <f>COUNTIF(D363:D382,"임")</f>
        <v>0</v>
      </c>
      <c r="V365" s="1139">
        <f>COUNTIF(I363:I382,"임")</f>
        <v>0</v>
      </c>
      <c r="W365" s="1138" t="s">
        <v>26</v>
      </c>
      <c r="X365" s="1138">
        <f>SUMIF(D363:D382,"임",F363:F382)</f>
        <v>0</v>
      </c>
      <c r="Y365" s="1139">
        <f>SUMIF(I363:I382,"임",K363:K382)</f>
        <v>0</v>
      </c>
      <c r="Z365" s="1164">
        <f>COUNTIF(AJ363:AJ382,"임국")+COUNTIF(AJ363:AJ382,"임공")</f>
        <v>0</v>
      </c>
      <c r="AA365" s="1165">
        <f>COUNTIF(AK363:AK382,"임국")+COUNTIF(AK363:AK382,"임공")</f>
        <v>0</v>
      </c>
      <c r="AB365" s="1164" t="s">
        <v>26</v>
      </c>
      <c r="AC365" s="1164">
        <f>SUMIF(AJ363:AJ382,"임국",F363:F382)+SUMIF(AJ363:AJ382,"임공",F363:F382)</f>
        <v>0</v>
      </c>
      <c r="AD365" s="1165">
        <f>SUMIF(AK363:AK382,"임국",K363:K382)+SUMIF(AK363:AK382,"임공",K363:K382)</f>
        <v>0</v>
      </c>
      <c r="AE365" s="1138">
        <f t="shared" si="79"/>
        <v>0</v>
      </c>
      <c r="AF365" s="1139">
        <f t="shared" si="79"/>
        <v>0</v>
      </c>
      <c r="AG365" s="1138" t="s">
        <v>26</v>
      </c>
      <c r="AH365" s="1138">
        <f t="shared" si="80"/>
        <v>0</v>
      </c>
      <c r="AI365" s="1139">
        <f t="shared" si="80"/>
        <v>0</v>
      </c>
      <c r="AJ365" s="1138" t="str">
        <f t="shared" si="81"/>
        <v/>
      </c>
      <c r="AK365" s="1138" t="str">
        <f t="shared" si="82"/>
        <v/>
      </c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</row>
    <row r="366" spans="1:60" ht="24" hidden="1" customHeight="1" x14ac:dyDescent="0.15">
      <c r="A366" s="160">
        <v>344</v>
      </c>
      <c r="B366" s="235"/>
      <c r="C366" s="235"/>
      <c r="D366" s="235"/>
      <c r="E366" s="357"/>
      <c r="F366" s="357"/>
      <c r="G366" s="417"/>
      <c r="H366" s="504"/>
      <c r="I366" s="504"/>
      <c r="J366" s="417"/>
      <c r="K366" s="417"/>
      <c r="L366" s="374"/>
      <c r="M366" s="353"/>
      <c r="N366" s="526"/>
      <c r="O366" s="1214"/>
      <c r="P366" s="353"/>
      <c r="Q366" s="353"/>
      <c r="R366" s="353"/>
      <c r="S366" s="1209"/>
      <c r="T366" s="1138" t="s">
        <v>45</v>
      </c>
      <c r="U366" s="1138">
        <f>COUNTIF(D363:D382,"대")</f>
        <v>0</v>
      </c>
      <c r="V366" s="1139">
        <f>COUNTIF(I363:I382,"대")</f>
        <v>0</v>
      </c>
      <c r="W366" s="1138" t="s">
        <v>26</v>
      </c>
      <c r="X366" s="1138">
        <f>SUMIF(D363:D382,"대",F363:F382)</f>
        <v>0</v>
      </c>
      <c r="Y366" s="1139">
        <f>SUMIF(I363:I382,"대",K363:K382)</f>
        <v>0</v>
      </c>
      <c r="Z366" s="1164">
        <f>COUNTIF(AJ363:AJ382,"대국")+COUNTIF(AJ363:AJ382,"대공")</f>
        <v>0</v>
      </c>
      <c r="AA366" s="1165">
        <f>COUNTIF(AK363:AK382,"대국")+COUNTIF(AK363:AK382,"대공")</f>
        <v>0</v>
      </c>
      <c r="AB366" s="1164" t="s">
        <v>26</v>
      </c>
      <c r="AC366" s="1164">
        <f>SUMIF(AJ363:AJ382,"대국",F363:F382)+SUMIF(AJ363:AJ382,"대공",F363:F382)</f>
        <v>0</v>
      </c>
      <c r="AD366" s="1165">
        <f>SUMIF(AK363:AK382,"대국",K363:K382)+SUMIF(AK363:AK382,"대공",K363:K382)</f>
        <v>0</v>
      </c>
      <c r="AE366" s="1138">
        <f t="shared" si="79"/>
        <v>0</v>
      </c>
      <c r="AF366" s="1139">
        <f t="shared" si="79"/>
        <v>0</v>
      </c>
      <c r="AG366" s="1138" t="s">
        <v>26</v>
      </c>
      <c r="AH366" s="1138">
        <f t="shared" si="80"/>
        <v>0</v>
      </c>
      <c r="AI366" s="1139">
        <f t="shared" si="80"/>
        <v>0</v>
      </c>
      <c r="AJ366" s="1138" t="str">
        <f t="shared" si="81"/>
        <v/>
      </c>
      <c r="AK366" s="1138" t="str">
        <f t="shared" si="82"/>
        <v/>
      </c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</row>
    <row r="367" spans="1:60" ht="24" hidden="1" customHeight="1" x14ac:dyDescent="0.15">
      <c r="A367" s="160">
        <v>345</v>
      </c>
      <c r="B367" s="235"/>
      <c r="C367" s="235"/>
      <c r="D367" s="235"/>
      <c r="E367" s="357"/>
      <c r="F367" s="357"/>
      <c r="G367" s="417"/>
      <c r="H367" s="504"/>
      <c r="I367" s="504"/>
      <c r="J367" s="417"/>
      <c r="K367" s="417"/>
      <c r="L367" s="374"/>
      <c r="M367" s="353"/>
      <c r="N367" s="526"/>
      <c r="O367" s="1214"/>
      <c r="P367" s="353"/>
      <c r="Q367" s="353"/>
      <c r="R367" s="353"/>
      <c r="S367" s="1209"/>
      <c r="T367" s="1138" t="s">
        <v>31</v>
      </c>
      <c r="U367" s="1138">
        <f>COUNTIF(D363:D382,"도")</f>
        <v>0</v>
      </c>
      <c r="V367" s="1139">
        <f>COUNTIF(I363:I382,"도")</f>
        <v>0</v>
      </c>
      <c r="W367" s="1138" t="s">
        <v>26</v>
      </c>
      <c r="X367" s="1138">
        <f>SUMIF(D363:D382,"도",F363:F382)</f>
        <v>0</v>
      </c>
      <c r="Y367" s="1139">
        <f>SUMIF(I363:I382,"도",K363:K382)</f>
        <v>0</v>
      </c>
      <c r="Z367" s="1164">
        <f>COUNTIF(AJ363:AJ382,"도국")+COUNTIF(AJ363:AJ382,"도공")</f>
        <v>0</v>
      </c>
      <c r="AA367" s="1165">
        <f>COUNTIF(AK363:AK382,"도국")+COUNTIF(AK363:AK382,"도공")</f>
        <v>0</v>
      </c>
      <c r="AB367" s="1164" t="s">
        <v>26</v>
      </c>
      <c r="AC367" s="1164">
        <f>SUMIF(AJ363:AJ382,"도국",F363:F382)+SUMIF(AJ363:AJ382,"도공",F363:F382)</f>
        <v>0</v>
      </c>
      <c r="AD367" s="1165">
        <f>SUMIF(AK363:AK382,"도국",K363:K382)+SUMIF(AK363:AK382,"도공",K363:K382)</f>
        <v>0</v>
      </c>
      <c r="AE367" s="1138">
        <f t="shared" si="79"/>
        <v>0</v>
      </c>
      <c r="AF367" s="1139">
        <f t="shared" si="79"/>
        <v>0</v>
      </c>
      <c r="AG367" s="1138" t="s">
        <v>26</v>
      </c>
      <c r="AH367" s="1138">
        <f t="shared" si="80"/>
        <v>0</v>
      </c>
      <c r="AI367" s="1139">
        <f t="shared" si="80"/>
        <v>0</v>
      </c>
      <c r="AJ367" s="1138" t="str">
        <f t="shared" si="81"/>
        <v/>
      </c>
      <c r="AK367" s="1138" t="str">
        <f t="shared" si="82"/>
        <v/>
      </c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</row>
    <row r="368" spans="1:60" ht="24" hidden="1" customHeight="1" x14ac:dyDescent="0.15">
      <c r="A368" s="160">
        <v>346</v>
      </c>
      <c r="B368" s="235"/>
      <c r="C368" s="235"/>
      <c r="D368" s="235"/>
      <c r="E368" s="357"/>
      <c r="F368" s="357"/>
      <c r="G368" s="417"/>
      <c r="H368" s="504"/>
      <c r="I368" s="504"/>
      <c r="J368" s="417"/>
      <c r="K368" s="417"/>
      <c r="L368" s="374"/>
      <c r="M368" s="353"/>
      <c r="N368" s="526"/>
      <c r="O368" s="1214"/>
      <c r="P368" s="353"/>
      <c r="Q368" s="353"/>
      <c r="R368" s="353"/>
      <c r="S368" s="1209"/>
      <c r="T368" s="1138" t="s">
        <v>32</v>
      </c>
      <c r="U368" s="1140">
        <f>COUNTIF(D363:D382,"천")</f>
        <v>0</v>
      </c>
      <c r="V368" s="1141">
        <f>COUNTIF(I363:I382,"천")</f>
        <v>0</v>
      </c>
      <c r="W368" s="1138" t="s">
        <v>26</v>
      </c>
      <c r="X368" s="1138">
        <f>SUMIF(D363:D382,"천",F363:F382)</f>
        <v>0</v>
      </c>
      <c r="Y368" s="1139">
        <f>SUMIF(I363:I382,"천",K363:K382)</f>
        <v>0</v>
      </c>
      <c r="Z368" s="1164">
        <f>COUNTIF(AJ363:AJ382,"천국")+COUNTIF(AJ363:AJ382,"천공")</f>
        <v>0</v>
      </c>
      <c r="AA368" s="1165">
        <f>COUNTIF(AK363:AK382,"천국")+COUNTIF(AK363:AK382,"천공")</f>
        <v>0</v>
      </c>
      <c r="AB368" s="1164" t="s">
        <v>26</v>
      </c>
      <c r="AC368" s="1164">
        <f>SUMIF(AJ363:AJ382,"천국",F363:F382)+SUMIF(AJ363:AJ382,"천공",F363:F382)</f>
        <v>0</v>
      </c>
      <c r="AD368" s="1165">
        <f>SUMIF(AK363:AK382,"천국",K363:K382)+SUMIF(AK363:AK382,"천공",K363:K382)</f>
        <v>0</v>
      </c>
      <c r="AE368" s="1138">
        <f t="shared" si="79"/>
        <v>0</v>
      </c>
      <c r="AF368" s="1139">
        <f t="shared" si="79"/>
        <v>0</v>
      </c>
      <c r="AG368" s="1138" t="s">
        <v>26</v>
      </c>
      <c r="AH368" s="1138">
        <f t="shared" si="80"/>
        <v>0</v>
      </c>
      <c r="AI368" s="1139">
        <f t="shared" si="80"/>
        <v>0</v>
      </c>
      <c r="AJ368" s="1138" t="str">
        <f t="shared" si="81"/>
        <v/>
      </c>
      <c r="AK368" s="1138" t="str">
        <f t="shared" si="82"/>
        <v/>
      </c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</row>
    <row r="369" spans="1:60" ht="24" hidden="1" customHeight="1" x14ac:dyDescent="0.15">
      <c r="A369" s="160">
        <v>347</v>
      </c>
      <c r="B369" s="235"/>
      <c r="C369" s="235"/>
      <c r="D369" s="235"/>
      <c r="E369" s="357"/>
      <c r="F369" s="357"/>
      <c r="G369" s="417"/>
      <c r="H369" s="504"/>
      <c r="I369" s="504"/>
      <c r="J369" s="417"/>
      <c r="K369" s="417"/>
      <c r="L369" s="374"/>
      <c r="M369" s="353"/>
      <c r="N369" s="526"/>
      <c r="O369" s="1214"/>
      <c r="P369" s="353"/>
      <c r="Q369" s="353"/>
      <c r="R369" s="353"/>
      <c r="S369" s="1209"/>
      <c r="T369" s="1138" t="s">
        <v>33</v>
      </c>
      <c r="U369" s="1138">
        <f>COUNTIF(D363:D382,"구")</f>
        <v>0</v>
      </c>
      <c r="V369" s="1139">
        <f>COUNTIF(I363:I382,"구")</f>
        <v>0</v>
      </c>
      <c r="W369" s="1138" t="s">
        <v>26</v>
      </c>
      <c r="X369" s="1138">
        <f>SUMIF(D363:D382,"구",F363:F382)</f>
        <v>0</v>
      </c>
      <c r="Y369" s="1139">
        <f>SUMIF(I363:I382,"구",K363:K382)</f>
        <v>0</v>
      </c>
      <c r="Z369" s="1164">
        <f>COUNTIF(AJ363:AJ382,"구국")+COUNTIF(AJ363:AJ382,"구공")</f>
        <v>0</v>
      </c>
      <c r="AA369" s="1165">
        <f>COUNTIF(AK363:AK382,"구국")+COUNTIF(AK363:AK382,"구공")</f>
        <v>0</v>
      </c>
      <c r="AB369" s="1164" t="s">
        <v>26</v>
      </c>
      <c r="AC369" s="1164">
        <f>SUMIF(AJ363:AJ382,"구국",F363:F382)+SUMIF(AJ363:AJ382,"구공",F363:F382)</f>
        <v>0</v>
      </c>
      <c r="AD369" s="1165">
        <f>SUMIF(AK363:AK382,"구국",K363:K382)+SUMIF(AK363:AK382,"구공",K363:K382)</f>
        <v>0</v>
      </c>
      <c r="AE369" s="1138">
        <f t="shared" si="79"/>
        <v>0</v>
      </c>
      <c r="AF369" s="1139">
        <f t="shared" si="79"/>
        <v>0</v>
      </c>
      <c r="AG369" s="1138" t="s">
        <v>26</v>
      </c>
      <c r="AH369" s="1138">
        <f t="shared" si="80"/>
        <v>0</v>
      </c>
      <c r="AI369" s="1139">
        <f t="shared" si="80"/>
        <v>0</v>
      </c>
      <c r="AJ369" s="1138" t="str">
        <f t="shared" si="81"/>
        <v/>
      </c>
      <c r="AK369" s="1138" t="str">
        <f t="shared" si="82"/>
        <v/>
      </c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</row>
    <row r="370" spans="1:60" ht="24" hidden="1" customHeight="1" x14ac:dyDescent="0.15">
      <c r="A370" s="160">
        <v>348</v>
      </c>
      <c r="B370" s="235"/>
      <c r="C370" s="235"/>
      <c r="D370" s="235"/>
      <c r="E370" s="357"/>
      <c r="F370" s="357"/>
      <c r="G370" s="417"/>
      <c r="H370" s="504"/>
      <c r="I370" s="504"/>
      <c r="J370" s="417"/>
      <c r="K370" s="417"/>
      <c r="L370" s="374"/>
      <c r="M370" s="353"/>
      <c r="N370" s="526"/>
      <c r="O370" s="1214"/>
      <c r="P370" s="353"/>
      <c r="Q370" s="353"/>
      <c r="R370" s="353"/>
      <c r="S370" s="1209"/>
      <c r="T370" s="1138" t="s">
        <v>34</v>
      </c>
      <c r="U370" s="1138">
        <f>COUNTIF(D363:D382,"제")</f>
        <v>0</v>
      </c>
      <c r="V370" s="1139">
        <f>COUNTIF(I363:I382,"제")</f>
        <v>0</v>
      </c>
      <c r="W370" s="1138" t="s">
        <v>26</v>
      </c>
      <c r="X370" s="1138">
        <f>SUMIF(D363:D382,"제",F363:F382)</f>
        <v>0</v>
      </c>
      <c r="Y370" s="1139">
        <f>SUMIF(I363:I382,"제",K363:K382)</f>
        <v>0</v>
      </c>
      <c r="Z370" s="1164">
        <f>COUNTIF(AJ363:AJ382,"제국")+COUNTIF(AJ363:AJ382,"제공")</f>
        <v>0</v>
      </c>
      <c r="AA370" s="1165">
        <f>COUNTIF(AK363:AK382,"제국")+COUNTIF(AK363:AK382,"제공")</f>
        <v>0</v>
      </c>
      <c r="AB370" s="1164" t="s">
        <v>26</v>
      </c>
      <c r="AC370" s="1164">
        <f>SUMIF(AJ363:AJ382,"제국",F363:F382)+SUMIF(AJ363:AJ382,"제공",F363:F382)</f>
        <v>0</v>
      </c>
      <c r="AD370" s="1165">
        <f>SUMIF(AK363:AK382,"제국",K363:K382)+SUMIF(AK363:AK382,"제공",K363:K382)</f>
        <v>0</v>
      </c>
      <c r="AE370" s="1138">
        <f t="shared" si="79"/>
        <v>0</v>
      </c>
      <c r="AF370" s="1139">
        <f t="shared" si="79"/>
        <v>0</v>
      </c>
      <c r="AG370" s="1138" t="s">
        <v>26</v>
      </c>
      <c r="AH370" s="1138">
        <f t="shared" si="80"/>
        <v>0</v>
      </c>
      <c r="AI370" s="1139">
        <f t="shared" si="80"/>
        <v>0</v>
      </c>
      <c r="AJ370" s="1138" t="str">
        <f t="shared" si="81"/>
        <v/>
      </c>
      <c r="AK370" s="1138" t="str">
        <f t="shared" si="82"/>
        <v/>
      </c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</row>
    <row r="371" spans="1:60" ht="24" hidden="1" customHeight="1" x14ac:dyDescent="0.15">
      <c r="A371" s="160">
        <v>349</v>
      </c>
      <c r="B371" s="235"/>
      <c r="C371" s="235"/>
      <c r="D371" s="235"/>
      <c r="E371" s="357"/>
      <c r="F371" s="357"/>
      <c r="G371" s="417"/>
      <c r="H371" s="504"/>
      <c r="I371" s="504"/>
      <c r="J371" s="417"/>
      <c r="K371" s="417"/>
      <c r="L371" s="374"/>
      <c r="M371" s="353"/>
      <c r="N371" s="526"/>
      <c r="O371" s="1214"/>
      <c r="P371" s="353"/>
      <c r="Q371" s="353"/>
      <c r="R371" s="353"/>
      <c r="S371" s="1209"/>
      <c r="T371" s="1138" t="s">
        <v>46</v>
      </c>
      <c r="U371" s="1138">
        <f>COUNTIF(D363:D382,"유")</f>
        <v>0</v>
      </c>
      <c r="V371" s="1139">
        <f>COUNTIF(I363:I382,"유")</f>
        <v>0</v>
      </c>
      <c r="W371" s="1138" t="s">
        <v>26</v>
      </c>
      <c r="X371" s="1138">
        <f>SUMIF(D363:D382,"유",F363:F382)</f>
        <v>0</v>
      </c>
      <c r="Y371" s="1139">
        <f>SUMIF(I363:I382,"유",K363:K382)</f>
        <v>0</v>
      </c>
      <c r="Z371" s="1164">
        <f>COUNTIF(AJ363:AJ382,"유국")+COUNTIF(AJ363:AJ382,"유공")</f>
        <v>0</v>
      </c>
      <c r="AA371" s="1165">
        <f>COUNTIF(AK363:AK382,"유국")+COUNTIF(AK363:AK382,"유공")</f>
        <v>0</v>
      </c>
      <c r="AB371" s="1164" t="s">
        <v>26</v>
      </c>
      <c r="AC371" s="1164">
        <f>SUMIF(AJ363:AJ382,"유국",F363:F382)+SUMIF(AJ363:AJ382,"유공",F363:F382)</f>
        <v>0</v>
      </c>
      <c r="AD371" s="1165">
        <f>SUMIF(AK363:AK382,"유국",K363:K382)+SUMIF(AK363:AK382,"유공",K363:K382)</f>
        <v>0</v>
      </c>
      <c r="AE371" s="1138">
        <f t="shared" si="79"/>
        <v>0</v>
      </c>
      <c r="AF371" s="1139">
        <f t="shared" si="79"/>
        <v>0</v>
      </c>
      <c r="AG371" s="1138" t="s">
        <v>26</v>
      </c>
      <c r="AH371" s="1138">
        <f t="shared" si="80"/>
        <v>0</v>
      </c>
      <c r="AI371" s="1139">
        <f t="shared" si="80"/>
        <v>0</v>
      </c>
      <c r="AJ371" s="1138" t="str">
        <f t="shared" si="81"/>
        <v/>
      </c>
      <c r="AK371" s="1138" t="str">
        <f t="shared" si="82"/>
        <v/>
      </c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</row>
    <row r="372" spans="1:60" ht="24" hidden="1" customHeight="1" x14ac:dyDescent="0.15">
      <c r="A372" s="160">
        <v>350</v>
      </c>
      <c r="B372" s="235"/>
      <c r="C372" s="235"/>
      <c r="D372" s="235"/>
      <c r="E372" s="357"/>
      <c r="F372" s="357"/>
      <c r="G372" s="417"/>
      <c r="H372" s="504"/>
      <c r="I372" s="504"/>
      <c r="J372" s="417"/>
      <c r="K372" s="417"/>
      <c r="L372" s="374"/>
      <c r="M372" s="353"/>
      <c r="N372" s="526"/>
      <c r="O372" s="1214"/>
      <c r="P372" s="353"/>
      <c r="Q372" s="353"/>
      <c r="R372" s="353"/>
      <c r="S372" s="1209"/>
      <c r="T372" s="1138" t="s">
        <v>47</v>
      </c>
      <c r="U372" s="1138">
        <f>COUNTIF(D363:D382,"과")</f>
        <v>0</v>
      </c>
      <c r="V372" s="1139">
        <f>COUNTIF(I363:I382,"과")</f>
        <v>0</v>
      </c>
      <c r="W372" s="1138" t="s">
        <v>26</v>
      </c>
      <c r="X372" s="1138">
        <f>SUMIF(D363:D382,"과",F363:F382)</f>
        <v>0</v>
      </c>
      <c r="Y372" s="1139">
        <f>SUMIF(I363:I382,"과",K363:K382)</f>
        <v>0</v>
      </c>
      <c r="Z372" s="1164">
        <f>COUNTIF(AJ363:AJ382,"과국")+COUNTIF(AJ363:AJ382,"과공")</f>
        <v>0</v>
      </c>
      <c r="AA372" s="1165">
        <f>COUNTIF(AK363:AK382,"과국")+COUNTIF(AK363:AK382,"과공")</f>
        <v>0</v>
      </c>
      <c r="AB372" s="1164" t="s">
        <v>26</v>
      </c>
      <c r="AC372" s="1164">
        <f>SUMIF(AJ363:AJ382,"과국",F363:F382)+SUMIF(AJ363:AJ382,"과공",F363:F382)</f>
        <v>0</v>
      </c>
      <c r="AD372" s="1165">
        <f>SUMIF(AK363:AK382,"과국",K363:K382)+SUMIF(AK363:AK382,"과공",K363:K382)</f>
        <v>0</v>
      </c>
      <c r="AE372" s="1138">
        <f t="shared" si="79"/>
        <v>0</v>
      </c>
      <c r="AF372" s="1139">
        <f t="shared" si="79"/>
        <v>0</v>
      </c>
      <c r="AG372" s="1138" t="s">
        <v>26</v>
      </c>
      <c r="AH372" s="1138">
        <f t="shared" si="80"/>
        <v>0</v>
      </c>
      <c r="AI372" s="1139">
        <f t="shared" si="80"/>
        <v>0</v>
      </c>
      <c r="AJ372" s="1138" t="str">
        <f t="shared" si="81"/>
        <v/>
      </c>
      <c r="AK372" s="1138" t="str">
        <f t="shared" si="82"/>
        <v/>
      </c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</row>
    <row r="373" spans="1:60" ht="24" hidden="1" customHeight="1" x14ac:dyDescent="0.15">
      <c r="A373" s="160">
        <v>351</v>
      </c>
      <c r="B373" s="235"/>
      <c r="C373" s="235"/>
      <c r="D373" s="235"/>
      <c r="E373" s="357"/>
      <c r="F373" s="357"/>
      <c r="G373" s="417"/>
      <c r="H373" s="504"/>
      <c r="I373" s="504"/>
      <c r="J373" s="417"/>
      <c r="K373" s="417"/>
      <c r="L373" s="374"/>
      <c r="M373" s="353"/>
      <c r="N373" s="526"/>
      <c r="O373" s="1214"/>
      <c r="P373" s="353"/>
      <c r="Q373" s="353"/>
      <c r="R373" s="353"/>
      <c r="S373" s="1209"/>
      <c r="T373" s="1138" t="s">
        <v>36</v>
      </c>
      <c r="U373" s="1138">
        <f>COUNTIF(D363:D382,"묘")</f>
        <v>0</v>
      </c>
      <c r="V373" s="1139">
        <f>COUNTIF(I363:I382,"묘")</f>
        <v>0</v>
      </c>
      <c r="W373" s="1138" t="s">
        <v>26</v>
      </c>
      <c r="X373" s="1138">
        <f>SUMIF(D363:D382,"묘",F363:F382)</f>
        <v>0</v>
      </c>
      <c r="Y373" s="1139">
        <f>SUMIF(I363:I382,"묘",K363:K382)</f>
        <v>0</v>
      </c>
      <c r="Z373" s="1164">
        <f>COUNTIF(AJ363:AJ382,"묘국")+COUNTIF(AJ363:AJ382,"묘공")</f>
        <v>0</v>
      </c>
      <c r="AA373" s="1165">
        <f>COUNTIF(AK363:AK382,"묘국")+COUNTIF(AK363:AK382,"묘공")</f>
        <v>0</v>
      </c>
      <c r="AB373" s="1164" t="s">
        <v>26</v>
      </c>
      <c r="AC373" s="1164">
        <f>SUMIF(AJ363:AJ382,"묘국",F363:F382)+SUMIF(AJ363:AJ382,"묘공",F363:F382)</f>
        <v>0</v>
      </c>
      <c r="AD373" s="1165">
        <f>SUMIF(AK363:AK382,"묘국",K363:K382)+SUMIF(AK363:AK382,"묘공",K363:K382)</f>
        <v>0</v>
      </c>
      <c r="AE373" s="1138">
        <f t="shared" si="79"/>
        <v>0</v>
      </c>
      <c r="AF373" s="1139">
        <f t="shared" si="79"/>
        <v>0</v>
      </c>
      <c r="AG373" s="1138" t="s">
        <v>26</v>
      </c>
      <c r="AH373" s="1138">
        <f t="shared" si="80"/>
        <v>0</v>
      </c>
      <c r="AI373" s="1139">
        <f t="shared" si="80"/>
        <v>0</v>
      </c>
      <c r="AJ373" s="1138" t="str">
        <f t="shared" si="81"/>
        <v/>
      </c>
      <c r="AK373" s="1138" t="str">
        <f t="shared" si="82"/>
        <v/>
      </c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</row>
    <row r="374" spans="1:60" ht="24" hidden="1" customHeight="1" x14ac:dyDescent="0.15">
      <c r="A374" s="160">
        <v>352</v>
      </c>
      <c r="B374" s="235"/>
      <c r="C374" s="235"/>
      <c r="D374" s="235"/>
      <c r="E374" s="357"/>
      <c r="F374" s="357"/>
      <c r="G374" s="417"/>
      <c r="H374" s="504"/>
      <c r="I374" s="504"/>
      <c r="J374" s="417"/>
      <c r="K374" s="417"/>
      <c r="L374" s="374"/>
      <c r="M374" s="353"/>
      <c r="N374" s="526"/>
      <c r="O374" s="1214"/>
      <c r="P374" s="1231"/>
      <c r="Q374" s="353"/>
      <c r="R374" s="1231"/>
      <c r="S374" s="1232"/>
      <c r="T374" s="1138" t="s">
        <v>39</v>
      </c>
      <c r="U374" s="1138">
        <f>COUNTIF(D363:D382,"수")</f>
        <v>0</v>
      </c>
      <c r="V374" s="1139">
        <f>COUNTIF(I363:I382,"수")</f>
        <v>0</v>
      </c>
      <c r="W374" s="1138" t="s">
        <v>26</v>
      </c>
      <c r="X374" s="1138">
        <f>SUMIF(D363:D382,"수",F363:F382)</f>
        <v>0</v>
      </c>
      <c r="Y374" s="1139">
        <f>SUMIF(I363:I382,"수",K363:K382)</f>
        <v>0</v>
      </c>
      <c r="Z374" s="1164">
        <f>COUNTIF(AJ363:AJ382,"수국")+COUNTIF(AJ363:AJ382,"수공")</f>
        <v>0</v>
      </c>
      <c r="AA374" s="1165">
        <f>COUNTIF(AK363:AK382,"수국")+COUNTIF(AK363:AK382,"수공")</f>
        <v>0</v>
      </c>
      <c r="AB374" s="1164" t="s">
        <v>26</v>
      </c>
      <c r="AC374" s="1164">
        <f>SUMIF(AJ363:AJ382,"수국",F363:F382)+SUMIF(AJ363:AJ382,"수공",F363:F382)</f>
        <v>0</v>
      </c>
      <c r="AD374" s="1165">
        <f>SUMIF(AK363:AK382,"수국",K363:K382)+SUMIF(AK363:AK382,"수공",K363:K382)</f>
        <v>0</v>
      </c>
      <c r="AE374" s="1138">
        <f t="shared" si="79"/>
        <v>0</v>
      </c>
      <c r="AF374" s="1139">
        <f t="shared" si="79"/>
        <v>0</v>
      </c>
      <c r="AG374" s="1138" t="s">
        <v>26</v>
      </c>
      <c r="AH374" s="1138">
        <f t="shared" si="80"/>
        <v>0</v>
      </c>
      <c r="AI374" s="1139">
        <f t="shared" si="80"/>
        <v>0</v>
      </c>
      <c r="AJ374" s="1138" t="str">
        <f t="shared" si="81"/>
        <v/>
      </c>
      <c r="AK374" s="1138" t="str">
        <f t="shared" si="82"/>
        <v/>
      </c>
    </row>
    <row r="375" spans="1:60" ht="24" hidden="1" customHeight="1" x14ac:dyDescent="0.15">
      <c r="A375" s="160">
        <v>353</v>
      </c>
      <c r="B375" s="235"/>
      <c r="C375" s="235"/>
      <c r="D375" s="235"/>
      <c r="E375" s="357"/>
      <c r="F375" s="357"/>
      <c r="G375" s="417"/>
      <c r="H375" s="504"/>
      <c r="I375" s="504"/>
      <c r="J375" s="417"/>
      <c r="K375" s="417"/>
      <c r="L375" s="374"/>
      <c r="M375" s="353"/>
      <c r="N375" s="526"/>
      <c r="O375" s="1214"/>
      <c r="P375" s="1231"/>
      <c r="Q375" s="353"/>
      <c r="R375" s="1231"/>
      <c r="S375" s="1232"/>
      <c r="T375" s="1138" t="s">
        <v>35</v>
      </c>
      <c r="U375" s="1138">
        <f>COUNTIF(D363:D382,"잡")</f>
        <v>0</v>
      </c>
      <c r="V375" s="1139">
        <f>COUNTIF(I363:I382,"잡")</f>
        <v>0</v>
      </c>
      <c r="W375" s="1138" t="s">
        <v>26</v>
      </c>
      <c r="X375" s="1138">
        <f>SUMIF(D363:D382,"잡",F363:F382)</f>
        <v>0</v>
      </c>
      <c r="Y375" s="1139">
        <f>SUMIF(I363:I382,"잡",K363:K382)</f>
        <v>0</v>
      </c>
      <c r="Z375" s="1164">
        <f>COUNTIF(AJ363:AJ382,"잡국")+COUNTIF(AJ363:AJ382,"잡공")</f>
        <v>0</v>
      </c>
      <c r="AA375" s="1165">
        <f>COUNTIF(AK363:AK382,"잡국")+COUNTIF(AK363:AK382,"잡공")</f>
        <v>0</v>
      </c>
      <c r="AB375" s="1164" t="s">
        <v>26</v>
      </c>
      <c r="AC375" s="1164">
        <f>SUMIF(AJ363:AJ382,"잡국",F363:F382)+SUMIF(AJ363:AJ382,"잡공",F363:F382)</f>
        <v>0</v>
      </c>
      <c r="AD375" s="1165">
        <f>SUMIF(AK363:AK382,"잡국",K363:K382)+SUMIF(AK363:AK382,"잡공",K363:K382)</f>
        <v>0</v>
      </c>
      <c r="AE375" s="1138">
        <f t="shared" si="79"/>
        <v>0</v>
      </c>
      <c r="AF375" s="1139">
        <f t="shared" si="79"/>
        <v>0</v>
      </c>
      <c r="AG375" s="1138" t="s">
        <v>26</v>
      </c>
      <c r="AH375" s="1138">
        <f t="shared" si="80"/>
        <v>0</v>
      </c>
      <c r="AI375" s="1139">
        <f t="shared" si="80"/>
        <v>0</v>
      </c>
      <c r="AJ375" s="1138" t="str">
        <f t="shared" si="81"/>
        <v/>
      </c>
      <c r="AK375" s="1138" t="str">
        <f t="shared" si="82"/>
        <v/>
      </c>
    </row>
    <row r="376" spans="1:60" ht="24" hidden="1" customHeight="1" x14ac:dyDescent="0.15">
      <c r="A376" s="160">
        <v>354</v>
      </c>
      <c r="B376" s="235"/>
      <c r="C376" s="235"/>
      <c r="D376" s="235"/>
      <c r="E376" s="357"/>
      <c r="F376" s="357"/>
      <c r="G376" s="417"/>
      <c r="H376" s="504"/>
      <c r="I376" s="504"/>
      <c r="J376" s="417"/>
      <c r="K376" s="417"/>
      <c r="L376" s="374"/>
      <c r="M376" s="353"/>
      <c r="N376" s="526"/>
      <c r="O376" s="1214"/>
      <c r="P376" s="1231"/>
      <c r="Q376" s="353"/>
      <c r="R376" s="1231"/>
      <c r="S376" s="1232"/>
      <c r="T376" s="1138" t="s">
        <v>221</v>
      </c>
      <c r="U376" s="1138">
        <f>COUNTIF(D363:D382,"창")</f>
        <v>0</v>
      </c>
      <c r="V376" s="1139">
        <f>COUNTIF(I363:I382,"창")</f>
        <v>0</v>
      </c>
      <c r="W376" s="1138" t="s">
        <v>26</v>
      </c>
      <c r="X376" s="1138">
        <f>SUMIF(D363:D382,"창",F363:F382)</f>
        <v>0</v>
      </c>
      <c r="Y376" s="1139">
        <f>SUMIF(I363:I382,"창",K363:K382)</f>
        <v>0</v>
      </c>
      <c r="Z376" s="1164">
        <f>COUNTIF(AJ363:AJ382,"창국")+COUNTIF(AJ363:AJ382,"창공")</f>
        <v>0</v>
      </c>
      <c r="AA376" s="1165">
        <f>COUNTIF(AK363:AK382,"창국")+COUNTIF(AK363:AK382,"창공")</f>
        <v>0</v>
      </c>
      <c r="AB376" s="1164" t="s">
        <v>26</v>
      </c>
      <c r="AC376" s="1164">
        <f>SUMIF(AJ363:AJ382,"창국",F363:F382)+SUMIF(AJ363:AJ382,"창공",F363:F382)</f>
        <v>0</v>
      </c>
      <c r="AD376" s="1165">
        <f>SUMIF(AK363:AK382,"창국",K363:K382)+SUMIF(AK363:AK382,"창공",K363:K382)</f>
        <v>0</v>
      </c>
      <c r="AE376" s="1138">
        <f t="shared" si="79"/>
        <v>0</v>
      </c>
      <c r="AF376" s="1139">
        <f t="shared" si="79"/>
        <v>0</v>
      </c>
      <c r="AG376" s="1138" t="s">
        <v>26</v>
      </c>
      <c r="AH376" s="1138">
        <f t="shared" si="80"/>
        <v>0</v>
      </c>
      <c r="AI376" s="1139">
        <f t="shared" si="80"/>
        <v>0</v>
      </c>
      <c r="AJ376" s="1138" t="str">
        <f t="shared" si="81"/>
        <v/>
      </c>
      <c r="AK376" s="1138" t="str">
        <f t="shared" si="82"/>
        <v/>
      </c>
    </row>
    <row r="377" spans="1:60" ht="24" hidden="1" customHeight="1" x14ac:dyDescent="0.15">
      <c r="A377" s="160">
        <v>355</v>
      </c>
      <c r="B377" s="235"/>
      <c r="C377" s="235"/>
      <c r="D377" s="235"/>
      <c r="E377" s="357"/>
      <c r="F377" s="357"/>
      <c r="G377" s="417"/>
      <c r="H377" s="504"/>
      <c r="I377" s="504"/>
      <c r="J377" s="417"/>
      <c r="K377" s="417"/>
      <c r="L377" s="374"/>
      <c r="M377" s="353"/>
      <c r="N377" s="526"/>
      <c r="O377" s="1214"/>
      <c r="P377" s="1231"/>
      <c r="Q377" s="353"/>
      <c r="R377" s="1231"/>
      <c r="S377" s="1232"/>
      <c r="T377" s="1138" t="s">
        <v>50</v>
      </c>
      <c r="U377" s="1138">
        <f>COUNTIF(D363:D382,"공")</f>
        <v>0</v>
      </c>
      <c r="V377" s="1139">
        <f>COUNTIF(I363:I382,"공")</f>
        <v>0</v>
      </c>
      <c r="W377" s="1138" t="s">
        <v>26</v>
      </c>
      <c r="X377" s="1138">
        <f>SUMIF(D363:D382,"공",F363:F382)</f>
        <v>0</v>
      </c>
      <c r="Y377" s="1139">
        <f>SUMIF(I363:I382,"공",K363:K382)</f>
        <v>0</v>
      </c>
      <c r="Z377" s="1164">
        <f>COUNTIF(AJ363:AJ382,"공국")+COUNTIF(AJ363:AJ382,"공공")</f>
        <v>0</v>
      </c>
      <c r="AA377" s="1165">
        <f>COUNTIF(AK363:AK382,"공국")+COUNTIF(AK363:AK382,"공공")</f>
        <v>0</v>
      </c>
      <c r="AB377" s="1164" t="s">
        <v>26</v>
      </c>
      <c r="AC377" s="1164">
        <f>SUMIF(AJ363:AJ382,"공국",F363:F382)+SUMIF(AJ363:AJ382,"공공",F363:F382)</f>
        <v>0</v>
      </c>
      <c r="AD377" s="1165">
        <f>SUMIF(AK363:AK382,"공국",K363:K382)+SUMIF(AK363:AK382,"공공",K363:K382)</f>
        <v>0</v>
      </c>
      <c r="AE377" s="1138">
        <f t="shared" si="79"/>
        <v>0</v>
      </c>
      <c r="AF377" s="1139">
        <f t="shared" si="79"/>
        <v>0</v>
      </c>
      <c r="AG377" s="1138" t="s">
        <v>26</v>
      </c>
      <c r="AH377" s="1138">
        <f t="shared" si="80"/>
        <v>0</v>
      </c>
      <c r="AI377" s="1139">
        <f t="shared" si="80"/>
        <v>0</v>
      </c>
      <c r="AJ377" s="1138" t="str">
        <f t="shared" si="81"/>
        <v/>
      </c>
      <c r="AK377" s="1138" t="str">
        <f t="shared" si="82"/>
        <v/>
      </c>
    </row>
    <row r="378" spans="1:60" ht="24" hidden="1" customHeight="1" x14ac:dyDescent="0.15">
      <c r="A378" s="160">
        <v>356</v>
      </c>
      <c r="B378" s="235"/>
      <c r="C378" s="235"/>
      <c r="D378" s="235"/>
      <c r="E378" s="357"/>
      <c r="F378" s="357"/>
      <c r="G378" s="417"/>
      <c r="H378" s="504"/>
      <c r="I378" s="504"/>
      <c r="J378" s="417"/>
      <c r="K378" s="417"/>
      <c r="L378" s="374"/>
      <c r="M378" s="353"/>
      <c r="N378" s="526"/>
      <c r="O378" s="1214"/>
      <c r="P378" s="1231"/>
      <c r="Q378" s="353"/>
      <c r="R378" s="1231"/>
      <c r="S378" s="1232"/>
      <c r="T378" s="1142" t="s">
        <v>40</v>
      </c>
      <c r="U378" s="1138">
        <f>COUNTIF(D363:D382,"장")</f>
        <v>0</v>
      </c>
      <c r="V378" s="1139">
        <f>COUNTIF(I363:I382,"장")</f>
        <v>0</v>
      </c>
      <c r="W378" s="1138" t="s">
        <v>26</v>
      </c>
      <c r="X378" s="1138">
        <f>SUMIF(D363:D382,"장",F363:F382)</f>
        <v>0</v>
      </c>
      <c r="Y378" s="1139">
        <f>SUMIF(I363:I382,"장",K363:K382)</f>
        <v>0</v>
      </c>
      <c r="Z378" s="1164">
        <f>COUNTIF(AJ363:AJ382,"장국")+COUNTIF(AJ363:AJ382,"장공")</f>
        <v>0</v>
      </c>
      <c r="AA378" s="1165">
        <f>COUNTIF(AK363:AK382,"장국")+COUNTIF(AK363:AK382,"장공")</f>
        <v>0</v>
      </c>
      <c r="AB378" s="1164" t="s">
        <v>26</v>
      </c>
      <c r="AC378" s="1164">
        <f>SUMIF(AJ363:AJ382,"장국",F363:F382)+SUMIF(AJ363:AJ382,"장공",F363:F382)</f>
        <v>0</v>
      </c>
      <c r="AD378" s="1165">
        <f>SUMIF(AK363:AK382,"장국",K363:K382)+SUMIF(AK363:AK382,"장공",K363:K382)</f>
        <v>0</v>
      </c>
      <c r="AE378" s="1138">
        <f t="shared" si="79"/>
        <v>0</v>
      </c>
      <c r="AF378" s="1139">
        <f t="shared" si="79"/>
        <v>0</v>
      </c>
      <c r="AG378" s="1138" t="s">
        <v>26</v>
      </c>
      <c r="AH378" s="1138">
        <f t="shared" si="80"/>
        <v>0</v>
      </c>
      <c r="AI378" s="1139">
        <f t="shared" si="80"/>
        <v>0</v>
      </c>
      <c r="AJ378" s="1138" t="str">
        <f t="shared" si="81"/>
        <v/>
      </c>
      <c r="AK378" s="1138" t="str">
        <f t="shared" si="82"/>
        <v/>
      </c>
    </row>
    <row r="379" spans="1:60" ht="24" hidden="1" customHeight="1" x14ac:dyDescent="0.15">
      <c r="A379" s="160">
        <v>357</v>
      </c>
      <c r="B379" s="235"/>
      <c r="C379" s="235"/>
      <c r="D379" s="235"/>
      <c r="E379" s="357"/>
      <c r="F379" s="357"/>
      <c r="G379" s="417"/>
      <c r="H379" s="504"/>
      <c r="I379" s="504"/>
      <c r="J379" s="417"/>
      <c r="K379" s="417"/>
      <c r="L379" s="374"/>
      <c r="M379" s="353"/>
      <c r="N379" s="526"/>
      <c r="O379" s="1214"/>
      <c r="P379" s="1231"/>
      <c r="Q379" s="353"/>
      <c r="R379" s="1231"/>
      <c r="S379" s="1232"/>
      <c r="T379" s="1142" t="s">
        <v>5</v>
      </c>
      <c r="U379" s="1138">
        <f>COUNTIF(D363:D382,"목")</f>
        <v>0</v>
      </c>
      <c r="V379" s="1139">
        <f>COUNTIF(I363:I382,"목")</f>
        <v>0</v>
      </c>
      <c r="W379" s="1138" t="s">
        <v>26</v>
      </c>
      <c r="X379" s="1138">
        <f>SUMIF(D363:D382,"목",F363:F382)</f>
        <v>0</v>
      </c>
      <c r="Y379" s="1139">
        <f>SUMIF(I363:I382,"목",K363:K382)</f>
        <v>0</v>
      </c>
      <c r="Z379" s="1164">
        <f>COUNTIF(AJ363:AJ382,"목국")+COUNTIF(AJ363:AJ382,"목공")</f>
        <v>0</v>
      </c>
      <c r="AA379" s="1165">
        <f>COUNTIF(AK363:AK382,"목국")+COUNTIF(AK363:AK382,"목공")</f>
        <v>0</v>
      </c>
      <c r="AB379" s="1164" t="s">
        <v>26</v>
      </c>
      <c r="AC379" s="1164">
        <f>SUMIF(AJ363:AJ382,"목국",F363:F382)+SUMIF(AJ363:AJ382,"목공",F363:F382)</f>
        <v>0</v>
      </c>
      <c r="AD379" s="1165">
        <f>SUMIF(AK363:AK382,"목국",K363:K382)+SUMIF(AK363:AK382,"목공",K363:K382)</f>
        <v>0</v>
      </c>
      <c r="AE379" s="1138">
        <f t="shared" si="79"/>
        <v>0</v>
      </c>
      <c r="AF379" s="1139">
        <f t="shared" si="79"/>
        <v>0</v>
      </c>
      <c r="AG379" s="1138" t="s">
        <v>26</v>
      </c>
      <c r="AH379" s="1138">
        <f t="shared" si="80"/>
        <v>0</v>
      </c>
      <c r="AI379" s="1139">
        <f t="shared" si="80"/>
        <v>0</v>
      </c>
      <c r="AJ379" s="1138" t="str">
        <f t="shared" si="81"/>
        <v/>
      </c>
      <c r="AK379" s="1138" t="str">
        <f t="shared" si="82"/>
        <v/>
      </c>
    </row>
    <row r="380" spans="1:60" ht="24" hidden="1" customHeight="1" x14ac:dyDescent="0.15">
      <c r="A380" s="160">
        <v>358</v>
      </c>
      <c r="B380" s="235"/>
      <c r="C380" s="235"/>
      <c r="D380" s="235"/>
      <c r="E380" s="357"/>
      <c r="F380" s="357"/>
      <c r="G380" s="417"/>
      <c r="H380" s="504"/>
      <c r="I380" s="504"/>
      <c r="J380" s="417"/>
      <c r="K380" s="417"/>
      <c r="L380" s="374"/>
      <c r="M380" s="353"/>
      <c r="N380" s="526"/>
      <c r="O380" s="1214"/>
      <c r="P380" s="1231"/>
      <c r="Q380" s="353"/>
      <c r="R380" s="1231"/>
      <c r="S380" s="1232"/>
      <c r="T380" s="1142"/>
      <c r="U380" s="1142"/>
      <c r="V380" s="1143"/>
      <c r="W380" s="1142"/>
      <c r="X380" s="1142"/>
      <c r="Y380" s="1143"/>
      <c r="Z380" s="1164"/>
      <c r="AA380" s="1165"/>
      <c r="AB380" s="1173"/>
      <c r="AC380" s="1164"/>
      <c r="AD380" s="1165"/>
      <c r="AE380" s="1142"/>
      <c r="AF380" s="1143"/>
      <c r="AG380" s="1142"/>
      <c r="AH380" s="1142"/>
      <c r="AI380" s="1143"/>
      <c r="AJ380" s="1138" t="str">
        <f t="shared" si="81"/>
        <v/>
      </c>
      <c r="AK380" s="1138" t="str">
        <f t="shared" si="82"/>
        <v/>
      </c>
    </row>
    <row r="381" spans="1:60" ht="24" hidden="1" customHeight="1" x14ac:dyDescent="0.15">
      <c r="A381" s="160">
        <v>359</v>
      </c>
      <c r="B381" s="235"/>
      <c r="C381" s="235"/>
      <c r="D381" s="235"/>
      <c r="E381" s="357"/>
      <c r="F381" s="357"/>
      <c r="G381" s="417"/>
      <c r="H381" s="504"/>
      <c r="I381" s="504"/>
      <c r="J381" s="417"/>
      <c r="K381" s="417"/>
      <c r="L381" s="374"/>
      <c r="M381" s="353"/>
      <c r="N381" s="526"/>
      <c r="O381" s="1214"/>
      <c r="P381" s="1231"/>
      <c r="Q381" s="353"/>
      <c r="R381" s="1231"/>
      <c r="S381" s="1232"/>
      <c r="T381" s="1142"/>
      <c r="U381" s="1142"/>
      <c r="V381" s="1143"/>
      <c r="W381" s="1142"/>
      <c r="X381" s="1142"/>
      <c r="Y381" s="1143"/>
      <c r="Z381" s="1164"/>
      <c r="AA381" s="1165"/>
      <c r="AB381" s="1173"/>
      <c r="AC381" s="1164"/>
      <c r="AD381" s="1165"/>
      <c r="AE381" s="1142"/>
      <c r="AF381" s="1143"/>
      <c r="AG381" s="1142"/>
      <c r="AH381" s="1142"/>
      <c r="AI381" s="1143"/>
      <c r="AJ381" s="1138" t="str">
        <f t="shared" si="81"/>
        <v/>
      </c>
      <c r="AK381" s="1138" t="str">
        <f t="shared" si="82"/>
        <v/>
      </c>
    </row>
    <row r="382" spans="1:60" ht="24" hidden="1" customHeight="1" x14ac:dyDescent="0.15">
      <c r="A382" s="160">
        <v>360</v>
      </c>
      <c r="B382" s="235"/>
      <c r="C382" s="235"/>
      <c r="D382" s="235"/>
      <c r="E382" s="357"/>
      <c r="F382" s="357"/>
      <c r="G382" s="417"/>
      <c r="H382" s="504"/>
      <c r="I382" s="504"/>
      <c r="J382" s="417"/>
      <c r="K382" s="417"/>
      <c r="L382" s="374"/>
      <c r="M382" s="353"/>
      <c r="N382" s="526"/>
      <c r="O382" s="1214"/>
      <c r="P382" s="1231"/>
      <c r="Q382" s="353"/>
      <c r="R382" s="1231"/>
      <c r="S382" s="1232"/>
      <c r="T382" s="1144" t="s">
        <v>37</v>
      </c>
      <c r="U382" s="1144">
        <f>COUNTIF(D363:D382,"철")</f>
        <v>0</v>
      </c>
      <c r="V382" s="1145">
        <f>COUNTIF(I363:I382,"철")</f>
        <v>0</v>
      </c>
      <c r="W382" s="1144" t="s">
        <v>26</v>
      </c>
      <c r="X382" s="1144">
        <f>SUMIF(D363:D382,"철",F363:F382)</f>
        <v>0</v>
      </c>
      <c r="Y382" s="1145">
        <f>SUMIF(I363:I382,"철",K363:K382)</f>
        <v>0</v>
      </c>
      <c r="Z382" s="1164">
        <f>COUNTIF(AJ363:AJ382,"철국")+COUNTIF(AJ363:AJ382,"철공")</f>
        <v>0</v>
      </c>
      <c r="AA382" s="1165">
        <f>COUNTIF(AK363:AK382,"철국")+COUNTIF(AK363:AK382,"철공")</f>
        <v>0</v>
      </c>
      <c r="AB382" s="1174" t="s">
        <v>26</v>
      </c>
      <c r="AC382" s="1164">
        <f>SUMIF(AJ363:AJ382,"철국",F363:F382)+SUMIF(AJ363:AJ382,"철공",F363:F382)</f>
        <v>0</v>
      </c>
      <c r="AD382" s="1165">
        <f>SUMIF(AK363:AK382,"철국",K363:K382)+SUMIF(AK363:AK382,"철공",K363:K382)</f>
        <v>0</v>
      </c>
      <c r="AE382" s="1144"/>
      <c r="AF382" s="1145"/>
      <c r="AG382" s="1144"/>
      <c r="AH382" s="1144"/>
      <c r="AI382" s="1145"/>
      <c r="AJ382" s="1138" t="str">
        <f t="shared" si="81"/>
        <v/>
      </c>
      <c r="AK382" s="1138" t="str">
        <f t="shared" si="82"/>
        <v/>
      </c>
    </row>
    <row r="383" spans="1:60" ht="24" hidden="1" customHeight="1" thickBot="1" x14ac:dyDescent="0.2">
      <c r="A383" s="1215" t="s">
        <v>48</v>
      </c>
      <c r="B383" s="1216"/>
      <c r="C383" s="1216"/>
      <c r="D383" s="1216"/>
      <c r="E383" s="1217"/>
      <c r="F383" s="1148">
        <f>SUM(F363:F382)</f>
        <v>0</v>
      </c>
      <c r="G383" s="1218"/>
      <c r="H383" s="1219"/>
      <c r="I383" s="1219"/>
      <c r="J383" s="1218"/>
      <c r="K383" s="1202">
        <f>SUM(K363:K382)</f>
        <v>0</v>
      </c>
      <c r="L383" s="1220"/>
      <c r="M383" s="1221"/>
      <c r="N383" s="1222"/>
      <c r="O383" s="1223"/>
      <c r="P383" s="1234"/>
      <c r="Q383" s="1234"/>
      <c r="R383" s="1234"/>
      <c r="S383" s="1235"/>
      <c r="T383" s="1156" t="s">
        <v>24</v>
      </c>
      <c r="U383" s="1157">
        <f t="shared" ref="U383:AA383" si="83">SUM(U363:U382)</f>
        <v>0</v>
      </c>
      <c r="V383" s="1157">
        <f t="shared" si="83"/>
        <v>0</v>
      </c>
      <c r="W383" s="1157">
        <f t="shared" si="83"/>
        <v>0</v>
      </c>
      <c r="X383" s="1157">
        <f t="shared" si="83"/>
        <v>0</v>
      </c>
      <c r="Y383" s="1157">
        <f t="shared" si="83"/>
        <v>0</v>
      </c>
      <c r="Z383" s="1164">
        <f t="shared" si="83"/>
        <v>0</v>
      </c>
      <c r="AA383" s="1165">
        <f t="shared" si="83"/>
        <v>0</v>
      </c>
      <c r="AB383" s="1164" t="s">
        <v>26</v>
      </c>
      <c r="AC383" s="1164">
        <f>SUM(AC363:AC382)</f>
        <v>0</v>
      </c>
      <c r="AD383" s="1165">
        <f>SUM(AD363:AD382)</f>
        <v>0</v>
      </c>
      <c r="AE383" s="1157">
        <f>SUM(AE363:AE382)</f>
        <v>0</v>
      </c>
      <c r="AF383" s="1157">
        <f>SUM(AF363:AF382)</f>
        <v>0</v>
      </c>
      <c r="AG383" s="1157" t="s">
        <v>26</v>
      </c>
      <c r="AH383" s="1157">
        <f>SUM(AH363:AH382)</f>
        <v>0</v>
      </c>
      <c r="AI383" s="1157">
        <f>SUM(AI363:AI382)</f>
        <v>0</v>
      </c>
      <c r="AJ383" s="1157"/>
      <c r="AK383" s="1134"/>
      <c r="AL383" s="66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</row>
    <row r="384" spans="1:60" ht="24" hidden="1" customHeight="1" x14ac:dyDescent="0.15">
      <c r="A384" s="159">
        <v>361</v>
      </c>
      <c r="B384" s="270"/>
      <c r="C384" s="270"/>
      <c r="D384" s="270"/>
      <c r="E384" s="369"/>
      <c r="F384" s="369"/>
      <c r="G384" s="488"/>
      <c r="H384" s="1225"/>
      <c r="I384" s="1225"/>
      <c r="J384" s="488"/>
      <c r="K384" s="488"/>
      <c r="L384" s="1226"/>
      <c r="M384" s="1210"/>
      <c r="N384" s="1227"/>
      <c r="O384" s="1228"/>
      <c r="P384" s="1210"/>
      <c r="Q384" s="1210"/>
      <c r="R384" s="1210"/>
      <c r="S384" s="1211"/>
      <c r="T384" s="1138" t="s">
        <v>27</v>
      </c>
      <c r="U384" s="1138">
        <f>COUNTIF(D384:D403,"전")</f>
        <v>0</v>
      </c>
      <c r="V384" s="1139">
        <f>COUNTIF(I384:I403,"전")</f>
        <v>0</v>
      </c>
      <c r="W384" s="1138" t="s">
        <v>26</v>
      </c>
      <c r="X384" s="1138">
        <f>SUMIF(D384:D403,"전",F384:F403)</f>
        <v>0</v>
      </c>
      <c r="Y384" s="1139">
        <f>SUMIF(I384:I403,"전",K384:K403)</f>
        <v>0</v>
      </c>
      <c r="Z384" s="1164">
        <f>COUNTIF(AJ384:AJ403,"전국")+COUNTIF(AJ384:AJ403,"전공")</f>
        <v>0</v>
      </c>
      <c r="AA384" s="1165">
        <f>COUNTIF(AK384:AK403,"전국")+COUNTIF(AK384:AK403,"전공")</f>
        <v>0</v>
      </c>
      <c r="AB384" s="1164" t="s">
        <v>26</v>
      </c>
      <c r="AC384" s="1164">
        <f>SUMIF(AJ384:AJ403,"전국",F384:F403)+SUMIF(AJ384:AJ403,"전공",F384:F403)</f>
        <v>0</v>
      </c>
      <c r="AD384" s="1165">
        <f>SUMIF(AK384:AK403,"전국",K384:K403)+SUMIF(AK384:AK403,"전공",K384:K403)</f>
        <v>0</v>
      </c>
      <c r="AE384" s="1138">
        <f t="shared" ref="AE384:AF400" si="84">U384-Z384</f>
        <v>0</v>
      </c>
      <c r="AF384" s="1139">
        <f t="shared" si="84"/>
        <v>0</v>
      </c>
      <c r="AG384" s="1138" t="s">
        <v>26</v>
      </c>
      <c r="AH384" s="1138">
        <f t="shared" ref="AH384:AI400" si="85">X384-AC384</f>
        <v>0</v>
      </c>
      <c r="AI384" s="1139">
        <f t="shared" si="85"/>
        <v>0</v>
      </c>
      <c r="AJ384" s="1138" t="str">
        <f t="shared" ref="AJ384:AJ403" si="86">CONCATENATE(D384,L384)</f>
        <v/>
      </c>
      <c r="AK384" s="1138" t="str">
        <f t="shared" ref="AK384:AK403" si="87">CONCATENATE(I384,L384)</f>
        <v/>
      </c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</row>
    <row r="385" spans="1:60" ht="24" hidden="1" customHeight="1" x14ac:dyDescent="0.15">
      <c r="A385" s="160">
        <v>362</v>
      </c>
      <c r="B385" s="235"/>
      <c r="C385" s="235"/>
      <c r="D385" s="235"/>
      <c r="E385" s="357"/>
      <c r="F385" s="357"/>
      <c r="G385" s="417"/>
      <c r="H385" s="504"/>
      <c r="I385" s="504"/>
      <c r="J385" s="417"/>
      <c r="K385" s="417"/>
      <c r="L385" s="374"/>
      <c r="M385" s="353"/>
      <c r="N385" s="526"/>
      <c r="O385" s="1214"/>
      <c r="P385" s="353"/>
      <c r="Q385" s="353"/>
      <c r="R385" s="353"/>
      <c r="S385" s="1209"/>
      <c r="T385" s="1138" t="s">
        <v>28</v>
      </c>
      <c r="U385" s="1138">
        <f>COUNTIF(D384:D403,"답")</f>
        <v>0</v>
      </c>
      <c r="V385" s="1139">
        <f>COUNTIF(I384:I403,"답")</f>
        <v>0</v>
      </c>
      <c r="W385" s="1138" t="s">
        <v>26</v>
      </c>
      <c r="X385" s="1138">
        <f>SUMIF(D384:D403,"답",F384:F403)</f>
        <v>0</v>
      </c>
      <c r="Y385" s="1139">
        <f>SUMIF(I384:I403,"답",K384:K403)</f>
        <v>0</v>
      </c>
      <c r="Z385" s="1164">
        <f>COUNTIF(AJ384:AJ403,"답국")+COUNTIF(AJ384:AJ403,"답공")</f>
        <v>0</v>
      </c>
      <c r="AA385" s="1165">
        <f>COUNTIF(AK384:AK403,"답국")+COUNTIF(AK384:AK403,"답공")</f>
        <v>0</v>
      </c>
      <c r="AB385" s="1164" t="s">
        <v>26</v>
      </c>
      <c r="AC385" s="1164">
        <f>SUMIF(AJ384:AJ403,"답국",F384:F403)+SUMIF(AJ384:AJ403,"답공",F384:F403)</f>
        <v>0</v>
      </c>
      <c r="AD385" s="1165">
        <f>SUMIF(AK384:AK403,"답국",K384:K403)+SUMIF(AK384:AK403,"답공",K384:K403)</f>
        <v>0</v>
      </c>
      <c r="AE385" s="1138">
        <f t="shared" si="84"/>
        <v>0</v>
      </c>
      <c r="AF385" s="1139">
        <f t="shared" si="84"/>
        <v>0</v>
      </c>
      <c r="AG385" s="1138" t="s">
        <v>26</v>
      </c>
      <c r="AH385" s="1138">
        <f t="shared" si="85"/>
        <v>0</v>
      </c>
      <c r="AI385" s="1139">
        <f t="shared" si="85"/>
        <v>0</v>
      </c>
      <c r="AJ385" s="1138" t="str">
        <f t="shared" si="86"/>
        <v/>
      </c>
      <c r="AK385" s="1138" t="str">
        <f t="shared" si="87"/>
        <v/>
      </c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</row>
    <row r="386" spans="1:60" ht="24" hidden="1" customHeight="1" x14ac:dyDescent="0.15">
      <c r="A386" s="160">
        <v>363</v>
      </c>
      <c r="B386" s="235"/>
      <c r="C386" s="235"/>
      <c r="D386" s="235"/>
      <c r="E386" s="357"/>
      <c r="F386" s="357"/>
      <c r="G386" s="417"/>
      <c r="H386" s="504"/>
      <c r="I386" s="504"/>
      <c r="J386" s="417"/>
      <c r="K386" s="417"/>
      <c r="L386" s="374"/>
      <c r="M386" s="353"/>
      <c r="N386" s="526"/>
      <c r="O386" s="1214"/>
      <c r="P386" s="353"/>
      <c r="Q386" s="353"/>
      <c r="R386" s="353"/>
      <c r="S386" s="1209"/>
      <c r="T386" s="1138" t="s">
        <v>44</v>
      </c>
      <c r="U386" s="1138">
        <f>COUNTIF(D384:D403,"임")</f>
        <v>0</v>
      </c>
      <c r="V386" s="1139">
        <f>COUNTIF(I384:I403,"임")</f>
        <v>0</v>
      </c>
      <c r="W386" s="1138" t="s">
        <v>26</v>
      </c>
      <c r="X386" s="1138">
        <f>SUMIF(D384:D403,"임",F384:F403)</f>
        <v>0</v>
      </c>
      <c r="Y386" s="1139">
        <f>SUMIF(I384:I403,"임",K384:K403)</f>
        <v>0</v>
      </c>
      <c r="Z386" s="1164">
        <f>COUNTIF(AJ384:AJ403,"임국")+COUNTIF(AJ384:AJ403,"임공")</f>
        <v>0</v>
      </c>
      <c r="AA386" s="1165">
        <f>COUNTIF(AK384:AK403,"임국")+COUNTIF(AK384:AK403,"임공")</f>
        <v>0</v>
      </c>
      <c r="AB386" s="1164" t="s">
        <v>26</v>
      </c>
      <c r="AC386" s="1164">
        <f>SUMIF(AJ384:AJ403,"임국",F384:F403)+SUMIF(AJ384:AJ403,"임공",F384:F403)</f>
        <v>0</v>
      </c>
      <c r="AD386" s="1165">
        <f>SUMIF(AK384:AK403,"임국",K384:K403)+SUMIF(AK384:AK403,"임공",K384:K403)</f>
        <v>0</v>
      </c>
      <c r="AE386" s="1138">
        <f t="shared" si="84"/>
        <v>0</v>
      </c>
      <c r="AF386" s="1139">
        <f t="shared" si="84"/>
        <v>0</v>
      </c>
      <c r="AG386" s="1138" t="s">
        <v>26</v>
      </c>
      <c r="AH386" s="1138">
        <f t="shared" si="85"/>
        <v>0</v>
      </c>
      <c r="AI386" s="1139">
        <f t="shared" si="85"/>
        <v>0</v>
      </c>
      <c r="AJ386" s="1138" t="str">
        <f t="shared" si="86"/>
        <v/>
      </c>
      <c r="AK386" s="1138" t="str">
        <f t="shared" si="87"/>
        <v/>
      </c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</row>
    <row r="387" spans="1:60" ht="24" hidden="1" customHeight="1" x14ac:dyDescent="0.15">
      <c r="A387" s="160">
        <v>364</v>
      </c>
      <c r="B387" s="235"/>
      <c r="C387" s="235"/>
      <c r="D387" s="235"/>
      <c r="E387" s="357"/>
      <c r="F387" s="357"/>
      <c r="G387" s="417"/>
      <c r="H387" s="504"/>
      <c r="I387" s="504"/>
      <c r="J387" s="417"/>
      <c r="K387" s="417"/>
      <c r="L387" s="374"/>
      <c r="M387" s="353"/>
      <c r="N387" s="526"/>
      <c r="O387" s="1214"/>
      <c r="P387" s="353"/>
      <c r="Q387" s="353"/>
      <c r="R387" s="353"/>
      <c r="S387" s="1209"/>
      <c r="T387" s="1138" t="s">
        <v>45</v>
      </c>
      <c r="U387" s="1138">
        <f>COUNTIF(D384:D403,"대")</f>
        <v>0</v>
      </c>
      <c r="V387" s="1139">
        <f>COUNTIF(I384:I403,"대")</f>
        <v>0</v>
      </c>
      <c r="W387" s="1138" t="s">
        <v>26</v>
      </c>
      <c r="X387" s="1138">
        <f>SUMIF(D384:D403,"대",F384:F403)</f>
        <v>0</v>
      </c>
      <c r="Y387" s="1139">
        <f>SUMIF(I384:I403,"대",K384:K403)</f>
        <v>0</v>
      </c>
      <c r="Z387" s="1164">
        <f>COUNTIF(AJ384:AJ403,"대국")+COUNTIF(AJ384:AJ403,"대공")</f>
        <v>0</v>
      </c>
      <c r="AA387" s="1165">
        <f>COUNTIF(AK384:AK403,"대국")+COUNTIF(AK384:AK403,"대공")</f>
        <v>0</v>
      </c>
      <c r="AB387" s="1164" t="s">
        <v>26</v>
      </c>
      <c r="AC387" s="1164">
        <f>SUMIF(AJ384:AJ403,"대국",F384:F403)+SUMIF(AJ384:AJ403,"대공",F384:F403)</f>
        <v>0</v>
      </c>
      <c r="AD387" s="1165">
        <f>SUMIF(AK384:AK403,"대국",K384:K403)+SUMIF(AK384:AK403,"대공",K384:K403)</f>
        <v>0</v>
      </c>
      <c r="AE387" s="1138">
        <f t="shared" si="84"/>
        <v>0</v>
      </c>
      <c r="AF387" s="1139">
        <f t="shared" si="84"/>
        <v>0</v>
      </c>
      <c r="AG387" s="1138" t="s">
        <v>26</v>
      </c>
      <c r="AH387" s="1138">
        <f t="shared" si="85"/>
        <v>0</v>
      </c>
      <c r="AI387" s="1139">
        <f t="shared" si="85"/>
        <v>0</v>
      </c>
      <c r="AJ387" s="1138" t="str">
        <f t="shared" si="86"/>
        <v/>
      </c>
      <c r="AK387" s="1138" t="str">
        <f t="shared" si="87"/>
        <v/>
      </c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</row>
    <row r="388" spans="1:60" ht="24" hidden="1" customHeight="1" x14ac:dyDescent="0.15">
      <c r="A388" s="160">
        <v>365</v>
      </c>
      <c r="B388" s="235"/>
      <c r="C388" s="235"/>
      <c r="D388" s="235"/>
      <c r="E388" s="357"/>
      <c r="F388" s="357"/>
      <c r="G388" s="417"/>
      <c r="H388" s="504"/>
      <c r="I388" s="504"/>
      <c r="J388" s="417"/>
      <c r="K388" s="417"/>
      <c r="L388" s="374"/>
      <c r="M388" s="353"/>
      <c r="N388" s="526"/>
      <c r="O388" s="1214"/>
      <c r="P388" s="353"/>
      <c r="Q388" s="353"/>
      <c r="R388" s="353"/>
      <c r="S388" s="1209"/>
      <c r="T388" s="1138" t="s">
        <v>31</v>
      </c>
      <c r="U388" s="1138">
        <f>COUNTIF(D384:D403,"도")</f>
        <v>0</v>
      </c>
      <c r="V388" s="1139">
        <f>COUNTIF(I384:I403,"도")</f>
        <v>0</v>
      </c>
      <c r="W388" s="1138" t="s">
        <v>26</v>
      </c>
      <c r="X388" s="1138">
        <f>SUMIF(D384:D403,"도",F384:F403)</f>
        <v>0</v>
      </c>
      <c r="Y388" s="1139">
        <f>SUMIF(I384:I403,"도",K384:K403)</f>
        <v>0</v>
      </c>
      <c r="Z388" s="1164">
        <f>COUNTIF(AJ384:AJ403,"도국")+COUNTIF(AJ384:AJ403,"도공")</f>
        <v>0</v>
      </c>
      <c r="AA388" s="1165">
        <f>COUNTIF(AK384:AK403,"도국")+COUNTIF(AK384:AK403,"도공")</f>
        <v>0</v>
      </c>
      <c r="AB388" s="1164" t="s">
        <v>26</v>
      </c>
      <c r="AC388" s="1164">
        <f>SUMIF(AJ384:AJ403,"도국",F384:F403)+SUMIF(AJ384:AJ403,"도공",F384:F403)</f>
        <v>0</v>
      </c>
      <c r="AD388" s="1165">
        <f>SUMIF(AK384:AK403,"도국",K384:K403)+SUMIF(AK384:AK403,"도공",K384:K403)</f>
        <v>0</v>
      </c>
      <c r="AE388" s="1138">
        <f t="shared" si="84"/>
        <v>0</v>
      </c>
      <c r="AF388" s="1139">
        <f t="shared" si="84"/>
        <v>0</v>
      </c>
      <c r="AG388" s="1138" t="s">
        <v>26</v>
      </c>
      <c r="AH388" s="1138">
        <f t="shared" si="85"/>
        <v>0</v>
      </c>
      <c r="AI388" s="1139">
        <f t="shared" si="85"/>
        <v>0</v>
      </c>
      <c r="AJ388" s="1138" t="str">
        <f t="shared" si="86"/>
        <v/>
      </c>
      <c r="AK388" s="1138" t="str">
        <f t="shared" si="87"/>
        <v/>
      </c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</row>
    <row r="389" spans="1:60" ht="24" hidden="1" customHeight="1" x14ac:dyDescent="0.15">
      <c r="A389" s="160">
        <v>366</v>
      </c>
      <c r="B389" s="235"/>
      <c r="C389" s="235"/>
      <c r="D389" s="235"/>
      <c r="E389" s="357"/>
      <c r="F389" s="357"/>
      <c r="G389" s="417"/>
      <c r="H389" s="504"/>
      <c r="I389" s="504"/>
      <c r="J389" s="417"/>
      <c r="K389" s="417"/>
      <c r="L389" s="374"/>
      <c r="M389" s="353"/>
      <c r="N389" s="526"/>
      <c r="O389" s="1214"/>
      <c r="P389" s="353"/>
      <c r="Q389" s="353"/>
      <c r="R389" s="353"/>
      <c r="S389" s="1209"/>
      <c r="T389" s="1138" t="s">
        <v>32</v>
      </c>
      <c r="U389" s="1140">
        <f>COUNTIF(D384:D403,"천")</f>
        <v>0</v>
      </c>
      <c r="V389" s="1141">
        <f>COUNTIF(I384:I403,"천")</f>
        <v>0</v>
      </c>
      <c r="W389" s="1138" t="s">
        <v>26</v>
      </c>
      <c r="X389" s="1138">
        <f>SUMIF(D384:D403,"천",F384:F403)</f>
        <v>0</v>
      </c>
      <c r="Y389" s="1139">
        <f>SUMIF(I384:I403,"천",K384:K403)</f>
        <v>0</v>
      </c>
      <c r="Z389" s="1164">
        <f>COUNTIF(AJ384:AJ403,"천국")+COUNTIF(AJ384:AJ403,"천공")</f>
        <v>0</v>
      </c>
      <c r="AA389" s="1165">
        <f>COUNTIF(AK384:AK403,"천국")+COUNTIF(AK384:AK403,"천공")</f>
        <v>0</v>
      </c>
      <c r="AB389" s="1164" t="s">
        <v>26</v>
      </c>
      <c r="AC389" s="1164">
        <f>SUMIF(AJ384:AJ403,"천국",F384:F403)+SUMIF(AJ384:AJ403,"천공",F384:F403)</f>
        <v>0</v>
      </c>
      <c r="AD389" s="1165">
        <f>SUMIF(AK384:AK403,"천국",K384:K403)+SUMIF(AK384:AK403,"천공",K384:K403)</f>
        <v>0</v>
      </c>
      <c r="AE389" s="1138">
        <f t="shared" si="84"/>
        <v>0</v>
      </c>
      <c r="AF389" s="1139">
        <f t="shared" si="84"/>
        <v>0</v>
      </c>
      <c r="AG389" s="1138" t="s">
        <v>26</v>
      </c>
      <c r="AH389" s="1138">
        <f t="shared" si="85"/>
        <v>0</v>
      </c>
      <c r="AI389" s="1139">
        <f t="shared" si="85"/>
        <v>0</v>
      </c>
      <c r="AJ389" s="1138" t="str">
        <f t="shared" si="86"/>
        <v/>
      </c>
      <c r="AK389" s="1138" t="str">
        <f t="shared" si="87"/>
        <v/>
      </c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</row>
    <row r="390" spans="1:60" ht="24" hidden="1" customHeight="1" x14ac:dyDescent="0.15">
      <c r="A390" s="160">
        <v>367</v>
      </c>
      <c r="B390" s="235"/>
      <c r="C390" s="235"/>
      <c r="D390" s="235"/>
      <c r="E390" s="357"/>
      <c r="F390" s="357"/>
      <c r="G390" s="417"/>
      <c r="H390" s="504"/>
      <c r="I390" s="504"/>
      <c r="J390" s="417"/>
      <c r="K390" s="417"/>
      <c r="L390" s="374"/>
      <c r="M390" s="353"/>
      <c r="N390" s="526"/>
      <c r="O390" s="1214"/>
      <c r="P390" s="353"/>
      <c r="Q390" s="353"/>
      <c r="R390" s="353"/>
      <c r="S390" s="1209"/>
      <c r="T390" s="1138" t="s">
        <v>33</v>
      </c>
      <c r="U390" s="1138">
        <f>COUNTIF(D384:D403,"구")</f>
        <v>0</v>
      </c>
      <c r="V390" s="1139">
        <f>COUNTIF(I384:I403,"구")</f>
        <v>0</v>
      </c>
      <c r="W390" s="1138" t="s">
        <v>26</v>
      </c>
      <c r="X390" s="1138">
        <f>SUMIF(D384:D403,"구",F384:F403)</f>
        <v>0</v>
      </c>
      <c r="Y390" s="1139">
        <f>SUMIF(I384:I403,"구",K384:K403)</f>
        <v>0</v>
      </c>
      <c r="Z390" s="1164">
        <f>COUNTIF(AJ384:AJ403,"구국")+COUNTIF(AJ384:AJ403,"구공")</f>
        <v>0</v>
      </c>
      <c r="AA390" s="1165">
        <f>COUNTIF(AK384:AK403,"구국")+COUNTIF(AK384:AK403,"구공")</f>
        <v>0</v>
      </c>
      <c r="AB390" s="1164" t="s">
        <v>26</v>
      </c>
      <c r="AC390" s="1164">
        <f>SUMIF(AJ384:AJ403,"구국",F384:F403)+SUMIF(AJ384:AJ403,"구공",F384:F403)</f>
        <v>0</v>
      </c>
      <c r="AD390" s="1165">
        <f>SUMIF(AK384:AK403,"구국",K384:K403)+SUMIF(AK384:AK403,"구공",K384:K403)</f>
        <v>0</v>
      </c>
      <c r="AE390" s="1138">
        <f t="shared" si="84"/>
        <v>0</v>
      </c>
      <c r="AF390" s="1139">
        <f t="shared" si="84"/>
        <v>0</v>
      </c>
      <c r="AG390" s="1138" t="s">
        <v>26</v>
      </c>
      <c r="AH390" s="1138">
        <f t="shared" si="85"/>
        <v>0</v>
      </c>
      <c r="AI390" s="1139">
        <f t="shared" si="85"/>
        <v>0</v>
      </c>
      <c r="AJ390" s="1138" t="str">
        <f t="shared" si="86"/>
        <v/>
      </c>
      <c r="AK390" s="1138" t="str">
        <f t="shared" si="87"/>
        <v/>
      </c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</row>
    <row r="391" spans="1:60" ht="24" hidden="1" customHeight="1" x14ac:dyDescent="0.15">
      <c r="A391" s="160">
        <v>368</v>
      </c>
      <c r="B391" s="235"/>
      <c r="C391" s="235"/>
      <c r="D391" s="235"/>
      <c r="E391" s="357"/>
      <c r="F391" s="357"/>
      <c r="G391" s="417"/>
      <c r="H391" s="504"/>
      <c r="I391" s="504"/>
      <c r="J391" s="417"/>
      <c r="K391" s="417"/>
      <c r="L391" s="374"/>
      <c r="M391" s="353"/>
      <c r="N391" s="526"/>
      <c r="O391" s="1214"/>
      <c r="P391" s="353"/>
      <c r="Q391" s="353"/>
      <c r="R391" s="353"/>
      <c r="S391" s="1209"/>
      <c r="T391" s="1138" t="s">
        <v>34</v>
      </c>
      <c r="U391" s="1138">
        <f>COUNTIF(D384:D403,"제")</f>
        <v>0</v>
      </c>
      <c r="V391" s="1139">
        <f>COUNTIF(I384:I403,"제")</f>
        <v>0</v>
      </c>
      <c r="W391" s="1138" t="s">
        <v>26</v>
      </c>
      <c r="X391" s="1138">
        <f>SUMIF(D384:D403,"제",F384:F403)</f>
        <v>0</v>
      </c>
      <c r="Y391" s="1139">
        <f>SUMIF(I384:I403,"제",K384:K403)</f>
        <v>0</v>
      </c>
      <c r="Z391" s="1164">
        <f>COUNTIF(AJ384:AJ403,"제국")+COUNTIF(AJ384:AJ403,"제공")</f>
        <v>0</v>
      </c>
      <c r="AA391" s="1165">
        <f>COUNTIF(AK384:AK403,"제국")+COUNTIF(AK384:AK403,"제공")</f>
        <v>0</v>
      </c>
      <c r="AB391" s="1164" t="s">
        <v>26</v>
      </c>
      <c r="AC391" s="1164">
        <f>SUMIF(AJ384:AJ403,"제국",F384:F403)+SUMIF(AJ384:AJ403,"제공",F384:F403)</f>
        <v>0</v>
      </c>
      <c r="AD391" s="1165">
        <f>SUMIF(AK384:AK403,"제국",K384:K403)+SUMIF(AK384:AK403,"제공",K384:K403)</f>
        <v>0</v>
      </c>
      <c r="AE391" s="1138">
        <f t="shared" si="84"/>
        <v>0</v>
      </c>
      <c r="AF391" s="1139">
        <f t="shared" si="84"/>
        <v>0</v>
      </c>
      <c r="AG391" s="1138" t="s">
        <v>26</v>
      </c>
      <c r="AH391" s="1138">
        <f t="shared" si="85"/>
        <v>0</v>
      </c>
      <c r="AI391" s="1139">
        <f t="shared" si="85"/>
        <v>0</v>
      </c>
      <c r="AJ391" s="1138" t="str">
        <f t="shared" si="86"/>
        <v/>
      </c>
      <c r="AK391" s="1138" t="str">
        <f t="shared" si="87"/>
        <v/>
      </c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</row>
    <row r="392" spans="1:60" ht="24" hidden="1" customHeight="1" x14ac:dyDescent="0.15">
      <c r="A392" s="160">
        <v>369</v>
      </c>
      <c r="B392" s="235"/>
      <c r="C392" s="235"/>
      <c r="D392" s="235"/>
      <c r="E392" s="357"/>
      <c r="F392" s="357"/>
      <c r="G392" s="417"/>
      <c r="H392" s="504"/>
      <c r="I392" s="504"/>
      <c r="J392" s="417"/>
      <c r="K392" s="417"/>
      <c r="L392" s="374"/>
      <c r="M392" s="353"/>
      <c r="N392" s="526"/>
      <c r="O392" s="1214"/>
      <c r="P392" s="353"/>
      <c r="Q392" s="353"/>
      <c r="R392" s="353"/>
      <c r="S392" s="1209"/>
      <c r="T392" s="1138" t="s">
        <v>46</v>
      </c>
      <c r="U392" s="1138">
        <f>COUNTIF(D384:D403,"유")</f>
        <v>0</v>
      </c>
      <c r="V392" s="1139">
        <f>COUNTIF(I384:I403,"유")</f>
        <v>0</v>
      </c>
      <c r="W392" s="1138" t="s">
        <v>26</v>
      </c>
      <c r="X392" s="1138">
        <f>SUMIF(D384:D403,"유",F384:F403)</f>
        <v>0</v>
      </c>
      <c r="Y392" s="1139">
        <f>SUMIF(I384:I403,"유",K384:K403)</f>
        <v>0</v>
      </c>
      <c r="Z392" s="1164">
        <f>COUNTIF(AJ384:AJ403,"유국")+COUNTIF(AJ384:AJ403,"유공")</f>
        <v>0</v>
      </c>
      <c r="AA392" s="1165">
        <f>COUNTIF(AK384:AK403,"유국")+COUNTIF(AK384:AK403,"유공")</f>
        <v>0</v>
      </c>
      <c r="AB392" s="1164" t="s">
        <v>26</v>
      </c>
      <c r="AC392" s="1164">
        <f>SUMIF(AJ384:AJ403,"유국",F384:F403)+SUMIF(AJ384:AJ403,"유공",F384:F403)</f>
        <v>0</v>
      </c>
      <c r="AD392" s="1165">
        <f>SUMIF(AK384:AK403,"유국",K384:K403)+SUMIF(AK384:AK403,"유공",K384:K403)</f>
        <v>0</v>
      </c>
      <c r="AE392" s="1138">
        <f t="shared" si="84"/>
        <v>0</v>
      </c>
      <c r="AF392" s="1139">
        <f t="shared" si="84"/>
        <v>0</v>
      </c>
      <c r="AG392" s="1138" t="s">
        <v>26</v>
      </c>
      <c r="AH392" s="1138">
        <f t="shared" si="85"/>
        <v>0</v>
      </c>
      <c r="AI392" s="1139">
        <f t="shared" si="85"/>
        <v>0</v>
      </c>
      <c r="AJ392" s="1138" t="str">
        <f t="shared" si="86"/>
        <v/>
      </c>
      <c r="AK392" s="1138" t="str">
        <f t="shared" si="87"/>
        <v/>
      </c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</row>
    <row r="393" spans="1:60" ht="24" hidden="1" customHeight="1" x14ac:dyDescent="0.15">
      <c r="A393" s="160">
        <v>370</v>
      </c>
      <c r="B393" s="235"/>
      <c r="C393" s="235"/>
      <c r="D393" s="235"/>
      <c r="E393" s="357"/>
      <c r="F393" s="357"/>
      <c r="G393" s="417"/>
      <c r="H393" s="504"/>
      <c r="I393" s="504"/>
      <c r="J393" s="417"/>
      <c r="K393" s="417"/>
      <c r="L393" s="374"/>
      <c r="M393" s="353"/>
      <c r="N393" s="526"/>
      <c r="O393" s="1214"/>
      <c r="P393" s="353"/>
      <c r="Q393" s="353"/>
      <c r="R393" s="353"/>
      <c r="S393" s="1209"/>
      <c r="T393" s="1138" t="s">
        <v>47</v>
      </c>
      <c r="U393" s="1138">
        <f>COUNTIF(D384:D403,"과")</f>
        <v>0</v>
      </c>
      <c r="V393" s="1139">
        <f>COUNTIF(I384:I403,"과")</f>
        <v>0</v>
      </c>
      <c r="W393" s="1138" t="s">
        <v>26</v>
      </c>
      <c r="X393" s="1138">
        <f>SUMIF(D384:D403,"과",F384:F403)</f>
        <v>0</v>
      </c>
      <c r="Y393" s="1139">
        <f>SUMIF(I384:I403,"과",K384:K403)</f>
        <v>0</v>
      </c>
      <c r="Z393" s="1164">
        <f>COUNTIF(AJ384:AJ403,"과국")+COUNTIF(AJ384:AJ403,"과공")</f>
        <v>0</v>
      </c>
      <c r="AA393" s="1165">
        <f>COUNTIF(AK384:AK403,"과국")+COUNTIF(AK384:AK403,"과공")</f>
        <v>0</v>
      </c>
      <c r="AB393" s="1164" t="s">
        <v>26</v>
      </c>
      <c r="AC393" s="1164">
        <f>SUMIF(AJ384:AJ403,"과국",F384:F403)+SUMIF(AJ384:AJ403,"과공",F384:F403)</f>
        <v>0</v>
      </c>
      <c r="AD393" s="1165">
        <f>SUMIF(AK384:AK403,"과국",K384:K403)+SUMIF(AK384:AK403,"과공",K384:K403)</f>
        <v>0</v>
      </c>
      <c r="AE393" s="1138">
        <f t="shared" si="84"/>
        <v>0</v>
      </c>
      <c r="AF393" s="1139">
        <f t="shared" si="84"/>
        <v>0</v>
      </c>
      <c r="AG393" s="1138" t="s">
        <v>26</v>
      </c>
      <c r="AH393" s="1138">
        <f t="shared" si="85"/>
        <v>0</v>
      </c>
      <c r="AI393" s="1139">
        <f t="shared" si="85"/>
        <v>0</v>
      </c>
      <c r="AJ393" s="1138" t="str">
        <f t="shared" si="86"/>
        <v/>
      </c>
      <c r="AK393" s="1138" t="str">
        <f t="shared" si="87"/>
        <v/>
      </c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</row>
    <row r="394" spans="1:60" ht="24" hidden="1" customHeight="1" x14ac:dyDescent="0.15">
      <c r="A394" s="160">
        <v>371</v>
      </c>
      <c r="B394" s="235"/>
      <c r="C394" s="235"/>
      <c r="D394" s="235"/>
      <c r="E394" s="357"/>
      <c r="F394" s="357"/>
      <c r="G394" s="417"/>
      <c r="H394" s="504"/>
      <c r="I394" s="504"/>
      <c r="J394" s="417"/>
      <c r="K394" s="417"/>
      <c r="L394" s="374"/>
      <c r="M394" s="353"/>
      <c r="N394" s="526"/>
      <c r="O394" s="1214"/>
      <c r="P394" s="353"/>
      <c r="Q394" s="353"/>
      <c r="R394" s="353"/>
      <c r="S394" s="1209"/>
      <c r="T394" s="1138" t="s">
        <v>36</v>
      </c>
      <c r="U394" s="1138">
        <f>COUNTIF(D384:D403,"묘")</f>
        <v>0</v>
      </c>
      <c r="V394" s="1139">
        <f>COUNTIF(I384:I403,"묘")</f>
        <v>0</v>
      </c>
      <c r="W394" s="1138" t="s">
        <v>26</v>
      </c>
      <c r="X394" s="1138">
        <f>SUMIF(D384:D403,"묘",F384:F403)</f>
        <v>0</v>
      </c>
      <c r="Y394" s="1139">
        <f>SUMIF(I384:I403,"묘",K384:K403)</f>
        <v>0</v>
      </c>
      <c r="Z394" s="1164">
        <f>COUNTIF(AJ384:AJ403,"묘국")+COUNTIF(AJ384:AJ403,"묘공")</f>
        <v>0</v>
      </c>
      <c r="AA394" s="1165">
        <f>COUNTIF(AK384:AK403,"묘국")+COUNTIF(AK384:AK403,"묘공")</f>
        <v>0</v>
      </c>
      <c r="AB394" s="1164" t="s">
        <v>26</v>
      </c>
      <c r="AC394" s="1164">
        <f>SUMIF(AJ384:AJ403,"묘국",F384:F403)+SUMIF(AJ384:AJ403,"묘공",F384:F403)</f>
        <v>0</v>
      </c>
      <c r="AD394" s="1165">
        <f>SUMIF(AK384:AK403,"묘국",K384:K403)+SUMIF(AK384:AK403,"묘공",K384:K403)</f>
        <v>0</v>
      </c>
      <c r="AE394" s="1138">
        <f t="shared" si="84"/>
        <v>0</v>
      </c>
      <c r="AF394" s="1139">
        <f t="shared" si="84"/>
        <v>0</v>
      </c>
      <c r="AG394" s="1138" t="s">
        <v>26</v>
      </c>
      <c r="AH394" s="1138">
        <f t="shared" si="85"/>
        <v>0</v>
      </c>
      <c r="AI394" s="1139">
        <f t="shared" si="85"/>
        <v>0</v>
      </c>
      <c r="AJ394" s="1138" t="str">
        <f t="shared" si="86"/>
        <v/>
      </c>
      <c r="AK394" s="1138" t="str">
        <f t="shared" si="87"/>
        <v/>
      </c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</row>
    <row r="395" spans="1:60" ht="24" hidden="1" customHeight="1" x14ac:dyDescent="0.15">
      <c r="A395" s="160">
        <v>372</v>
      </c>
      <c r="B395" s="235"/>
      <c r="C395" s="235"/>
      <c r="D395" s="235"/>
      <c r="E395" s="357"/>
      <c r="F395" s="357"/>
      <c r="G395" s="417"/>
      <c r="H395" s="504"/>
      <c r="I395" s="504"/>
      <c r="J395" s="417"/>
      <c r="K395" s="417"/>
      <c r="L395" s="374"/>
      <c r="M395" s="353"/>
      <c r="N395" s="526"/>
      <c r="O395" s="1214"/>
      <c r="P395" s="1231"/>
      <c r="Q395" s="353"/>
      <c r="R395" s="1231"/>
      <c r="S395" s="1232"/>
      <c r="T395" s="1138" t="s">
        <v>39</v>
      </c>
      <c r="U395" s="1138">
        <f>COUNTIF(D384:D403,"수")</f>
        <v>0</v>
      </c>
      <c r="V395" s="1139">
        <f>COUNTIF(I384:I403,"수")</f>
        <v>0</v>
      </c>
      <c r="W395" s="1138" t="s">
        <v>26</v>
      </c>
      <c r="X395" s="1138">
        <f>SUMIF(D384:D403,"수",F384:F403)</f>
        <v>0</v>
      </c>
      <c r="Y395" s="1139">
        <f>SUMIF(I384:I403,"수",K384:K403)</f>
        <v>0</v>
      </c>
      <c r="Z395" s="1164">
        <f>COUNTIF(AJ384:AJ403,"수국")+COUNTIF(AJ384:AJ403,"수공")</f>
        <v>0</v>
      </c>
      <c r="AA395" s="1165">
        <f>COUNTIF(AK384:AK403,"수국")+COUNTIF(AK384:AK403,"수공")</f>
        <v>0</v>
      </c>
      <c r="AB395" s="1164" t="s">
        <v>26</v>
      </c>
      <c r="AC395" s="1164">
        <f>SUMIF(AJ384:AJ403,"수국",F384:F403)+SUMIF(AJ384:AJ403,"수공",F384:F403)</f>
        <v>0</v>
      </c>
      <c r="AD395" s="1165">
        <f>SUMIF(AK384:AK403,"수국",K384:K403)+SUMIF(AK384:AK403,"수공",K384:K403)</f>
        <v>0</v>
      </c>
      <c r="AE395" s="1138">
        <f t="shared" si="84"/>
        <v>0</v>
      </c>
      <c r="AF395" s="1139">
        <f t="shared" si="84"/>
        <v>0</v>
      </c>
      <c r="AG395" s="1138" t="s">
        <v>26</v>
      </c>
      <c r="AH395" s="1138">
        <f t="shared" si="85"/>
        <v>0</v>
      </c>
      <c r="AI395" s="1139">
        <f t="shared" si="85"/>
        <v>0</v>
      </c>
      <c r="AJ395" s="1138" t="str">
        <f t="shared" si="86"/>
        <v/>
      </c>
      <c r="AK395" s="1138" t="str">
        <f t="shared" si="87"/>
        <v/>
      </c>
    </row>
    <row r="396" spans="1:60" ht="24" hidden="1" customHeight="1" x14ac:dyDescent="0.15">
      <c r="A396" s="160">
        <v>373</v>
      </c>
      <c r="B396" s="235"/>
      <c r="C396" s="235"/>
      <c r="D396" s="235"/>
      <c r="E396" s="357"/>
      <c r="F396" s="357"/>
      <c r="G396" s="417"/>
      <c r="H396" s="504"/>
      <c r="I396" s="504"/>
      <c r="J396" s="417"/>
      <c r="K396" s="417"/>
      <c r="L396" s="374"/>
      <c r="M396" s="353"/>
      <c r="N396" s="526"/>
      <c r="O396" s="1214"/>
      <c r="P396" s="1231"/>
      <c r="Q396" s="353"/>
      <c r="R396" s="1231"/>
      <c r="S396" s="1232"/>
      <c r="T396" s="1138" t="s">
        <v>35</v>
      </c>
      <c r="U396" s="1138">
        <f>COUNTIF(D384:D403,"잡")</f>
        <v>0</v>
      </c>
      <c r="V396" s="1139">
        <f>COUNTIF(I384:I403,"잡")</f>
        <v>0</v>
      </c>
      <c r="W396" s="1138" t="s">
        <v>26</v>
      </c>
      <c r="X396" s="1138">
        <f>SUMIF(D384:D403,"잡",F384:F403)</f>
        <v>0</v>
      </c>
      <c r="Y396" s="1139">
        <f>SUMIF(I384:I403,"잡",K384:K403)</f>
        <v>0</v>
      </c>
      <c r="Z396" s="1164">
        <f>COUNTIF(AJ384:AJ403,"잡국")+COUNTIF(AJ384:AJ403,"잡공")</f>
        <v>0</v>
      </c>
      <c r="AA396" s="1165">
        <f>COUNTIF(AK384:AK403,"잡국")+COUNTIF(AK384:AK403,"잡공")</f>
        <v>0</v>
      </c>
      <c r="AB396" s="1164" t="s">
        <v>26</v>
      </c>
      <c r="AC396" s="1164">
        <f>SUMIF(AJ384:AJ403,"잡국",F384:F403)+SUMIF(AJ384:AJ403,"잡공",F384:F403)</f>
        <v>0</v>
      </c>
      <c r="AD396" s="1165">
        <f>SUMIF(AK384:AK403,"잡국",K384:K403)+SUMIF(AK384:AK403,"잡공",K384:K403)</f>
        <v>0</v>
      </c>
      <c r="AE396" s="1138">
        <f t="shared" si="84"/>
        <v>0</v>
      </c>
      <c r="AF396" s="1139">
        <f t="shared" si="84"/>
        <v>0</v>
      </c>
      <c r="AG396" s="1138" t="s">
        <v>26</v>
      </c>
      <c r="AH396" s="1138">
        <f t="shared" si="85"/>
        <v>0</v>
      </c>
      <c r="AI396" s="1139">
        <f t="shared" si="85"/>
        <v>0</v>
      </c>
      <c r="AJ396" s="1138" t="str">
        <f t="shared" si="86"/>
        <v/>
      </c>
      <c r="AK396" s="1138" t="str">
        <f t="shared" si="87"/>
        <v/>
      </c>
    </row>
    <row r="397" spans="1:60" ht="24" hidden="1" customHeight="1" x14ac:dyDescent="0.15">
      <c r="A397" s="160">
        <v>374</v>
      </c>
      <c r="B397" s="235"/>
      <c r="C397" s="235"/>
      <c r="D397" s="235"/>
      <c r="E397" s="357"/>
      <c r="F397" s="357"/>
      <c r="G397" s="417"/>
      <c r="H397" s="504"/>
      <c r="I397" s="504"/>
      <c r="J397" s="417"/>
      <c r="K397" s="417"/>
      <c r="L397" s="374"/>
      <c r="M397" s="353"/>
      <c r="N397" s="526"/>
      <c r="O397" s="1214"/>
      <c r="P397" s="1231"/>
      <c r="Q397" s="353"/>
      <c r="R397" s="1231"/>
      <c r="S397" s="1232"/>
      <c r="T397" s="1138" t="s">
        <v>221</v>
      </c>
      <c r="U397" s="1138">
        <f>COUNTIF(D384:D403,"창")</f>
        <v>0</v>
      </c>
      <c r="V397" s="1139">
        <f>COUNTIF(I384:I403,"창")</f>
        <v>0</v>
      </c>
      <c r="W397" s="1138" t="s">
        <v>26</v>
      </c>
      <c r="X397" s="1138">
        <f>SUMIF(D384:D403,"창",F384:F403)</f>
        <v>0</v>
      </c>
      <c r="Y397" s="1139">
        <f>SUMIF(I384:I403,"창",K384:K403)</f>
        <v>0</v>
      </c>
      <c r="Z397" s="1164">
        <f>COUNTIF(AJ384:AJ403,"창국")+COUNTIF(AJ384:AJ403,"창공")</f>
        <v>0</v>
      </c>
      <c r="AA397" s="1165">
        <f>COUNTIF(AK384:AK403,"창국")+COUNTIF(AK384:AK403,"창공")</f>
        <v>0</v>
      </c>
      <c r="AB397" s="1164" t="s">
        <v>26</v>
      </c>
      <c r="AC397" s="1164">
        <f>SUMIF(AJ384:AJ403,"창국",F384:F403)+SUMIF(AJ384:AJ403,"창공",F384:F403)</f>
        <v>0</v>
      </c>
      <c r="AD397" s="1165">
        <f>SUMIF(AK384:AK403,"창국",K384:K403)+SUMIF(AK384:AK403,"창공",K384:K403)</f>
        <v>0</v>
      </c>
      <c r="AE397" s="1138">
        <f t="shared" si="84"/>
        <v>0</v>
      </c>
      <c r="AF397" s="1139">
        <f t="shared" si="84"/>
        <v>0</v>
      </c>
      <c r="AG397" s="1138" t="s">
        <v>26</v>
      </c>
      <c r="AH397" s="1138">
        <f t="shared" si="85"/>
        <v>0</v>
      </c>
      <c r="AI397" s="1139">
        <f t="shared" si="85"/>
        <v>0</v>
      </c>
      <c r="AJ397" s="1138" t="str">
        <f t="shared" si="86"/>
        <v/>
      </c>
      <c r="AK397" s="1138" t="str">
        <f t="shared" si="87"/>
        <v/>
      </c>
    </row>
    <row r="398" spans="1:60" ht="24" hidden="1" customHeight="1" x14ac:dyDescent="0.15">
      <c r="A398" s="160">
        <v>375</v>
      </c>
      <c r="B398" s="235"/>
      <c r="C398" s="235"/>
      <c r="D398" s="235"/>
      <c r="E398" s="357"/>
      <c r="F398" s="357"/>
      <c r="G398" s="417"/>
      <c r="H398" s="504"/>
      <c r="I398" s="504"/>
      <c r="J398" s="417"/>
      <c r="K398" s="417"/>
      <c r="L398" s="374"/>
      <c r="M398" s="353"/>
      <c r="N398" s="526"/>
      <c r="O398" s="1214"/>
      <c r="P398" s="1231"/>
      <c r="Q398" s="353"/>
      <c r="R398" s="1231"/>
      <c r="S398" s="1232"/>
      <c r="T398" s="1138" t="s">
        <v>50</v>
      </c>
      <c r="U398" s="1138">
        <f>COUNTIF(D384:D403,"공")</f>
        <v>0</v>
      </c>
      <c r="V398" s="1139">
        <f>COUNTIF(I384:I403,"공")</f>
        <v>0</v>
      </c>
      <c r="W398" s="1138" t="s">
        <v>26</v>
      </c>
      <c r="X398" s="1138">
        <f>SUMIF(D384:D403,"공",F384:F403)</f>
        <v>0</v>
      </c>
      <c r="Y398" s="1139">
        <f>SUMIF(I384:I403,"공",K384:K403)</f>
        <v>0</v>
      </c>
      <c r="Z398" s="1164">
        <f>COUNTIF(AJ384:AJ403,"공국")+COUNTIF(AJ384:AJ403,"공공")</f>
        <v>0</v>
      </c>
      <c r="AA398" s="1165">
        <f>COUNTIF(AK384:AK403,"공국")+COUNTIF(AK384:AK403,"공공")</f>
        <v>0</v>
      </c>
      <c r="AB398" s="1164" t="s">
        <v>26</v>
      </c>
      <c r="AC398" s="1164">
        <f>SUMIF(AJ384:AJ403,"공국",F384:F403)+SUMIF(AJ384:AJ403,"공공",F384:F403)</f>
        <v>0</v>
      </c>
      <c r="AD398" s="1165">
        <f>SUMIF(AK384:AK403,"공국",K384:K403)+SUMIF(AK384:AK403,"공공",K384:K403)</f>
        <v>0</v>
      </c>
      <c r="AE398" s="1138">
        <f t="shared" si="84"/>
        <v>0</v>
      </c>
      <c r="AF398" s="1139">
        <f t="shared" si="84"/>
        <v>0</v>
      </c>
      <c r="AG398" s="1138" t="s">
        <v>26</v>
      </c>
      <c r="AH398" s="1138">
        <f t="shared" si="85"/>
        <v>0</v>
      </c>
      <c r="AI398" s="1139">
        <f t="shared" si="85"/>
        <v>0</v>
      </c>
      <c r="AJ398" s="1138" t="str">
        <f t="shared" si="86"/>
        <v/>
      </c>
      <c r="AK398" s="1138" t="str">
        <f t="shared" si="87"/>
        <v/>
      </c>
    </row>
    <row r="399" spans="1:60" ht="24" hidden="1" customHeight="1" x14ac:dyDescent="0.15">
      <c r="A399" s="160">
        <v>376</v>
      </c>
      <c r="B399" s="235"/>
      <c r="C399" s="235"/>
      <c r="D399" s="235"/>
      <c r="E399" s="357"/>
      <c r="F399" s="357"/>
      <c r="G399" s="417"/>
      <c r="H399" s="504"/>
      <c r="I399" s="504"/>
      <c r="J399" s="417"/>
      <c r="K399" s="417"/>
      <c r="L399" s="374"/>
      <c r="M399" s="353"/>
      <c r="N399" s="526"/>
      <c r="O399" s="1214"/>
      <c r="P399" s="1231"/>
      <c r="Q399" s="353"/>
      <c r="R399" s="1231"/>
      <c r="S399" s="1232"/>
      <c r="T399" s="1142" t="s">
        <v>40</v>
      </c>
      <c r="U399" s="1138">
        <f>COUNTIF(D384:D403,"장")</f>
        <v>0</v>
      </c>
      <c r="V399" s="1139">
        <f>COUNTIF(I384:I403,"장")</f>
        <v>0</v>
      </c>
      <c r="W399" s="1138" t="s">
        <v>26</v>
      </c>
      <c r="X399" s="1138">
        <f>SUMIF(D384:D403,"장",F384:F403)</f>
        <v>0</v>
      </c>
      <c r="Y399" s="1139">
        <f>SUMIF(I384:I403,"장",K384:K403)</f>
        <v>0</v>
      </c>
      <c r="Z399" s="1164">
        <f>COUNTIF(AJ384:AJ403,"장국")+COUNTIF(AJ384:AJ403,"장공")</f>
        <v>0</v>
      </c>
      <c r="AA399" s="1165">
        <f>COUNTIF(AK384:AK403,"장국")+COUNTIF(AK384:AK403,"장공")</f>
        <v>0</v>
      </c>
      <c r="AB399" s="1164" t="s">
        <v>26</v>
      </c>
      <c r="AC399" s="1164">
        <f>SUMIF(AJ384:AJ403,"장국",F384:F403)+SUMIF(AJ384:AJ403,"장공",F384:F403)</f>
        <v>0</v>
      </c>
      <c r="AD399" s="1165">
        <f>SUMIF(AK384:AK403,"장국",K384:K403)+SUMIF(AK384:AK403,"장공",K384:K403)</f>
        <v>0</v>
      </c>
      <c r="AE399" s="1138">
        <f t="shared" si="84"/>
        <v>0</v>
      </c>
      <c r="AF399" s="1139">
        <f t="shared" si="84"/>
        <v>0</v>
      </c>
      <c r="AG399" s="1138" t="s">
        <v>26</v>
      </c>
      <c r="AH399" s="1138">
        <f t="shared" si="85"/>
        <v>0</v>
      </c>
      <c r="AI399" s="1139">
        <f t="shared" si="85"/>
        <v>0</v>
      </c>
      <c r="AJ399" s="1138" t="str">
        <f t="shared" si="86"/>
        <v/>
      </c>
      <c r="AK399" s="1138" t="str">
        <f t="shared" si="87"/>
        <v/>
      </c>
    </row>
    <row r="400" spans="1:60" ht="24" hidden="1" customHeight="1" x14ac:dyDescent="0.15">
      <c r="A400" s="160">
        <v>377</v>
      </c>
      <c r="B400" s="235"/>
      <c r="C400" s="235"/>
      <c r="D400" s="235"/>
      <c r="E400" s="357"/>
      <c r="F400" s="357"/>
      <c r="G400" s="417"/>
      <c r="H400" s="504"/>
      <c r="I400" s="504"/>
      <c r="J400" s="417"/>
      <c r="K400" s="417"/>
      <c r="L400" s="374"/>
      <c r="M400" s="353"/>
      <c r="N400" s="526"/>
      <c r="O400" s="1214"/>
      <c r="P400" s="1231"/>
      <c r="Q400" s="353"/>
      <c r="R400" s="1231"/>
      <c r="S400" s="1232"/>
      <c r="T400" s="1142" t="s">
        <v>5</v>
      </c>
      <c r="U400" s="1138">
        <f>COUNTIF(D384:D403,"목")</f>
        <v>0</v>
      </c>
      <c r="V400" s="1139">
        <f>COUNTIF(I384:I403,"목")</f>
        <v>0</v>
      </c>
      <c r="W400" s="1138" t="s">
        <v>26</v>
      </c>
      <c r="X400" s="1138">
        <f>SUMIF(D384:D403,"목",F384:F403)</f>
        <v>0</v>
      </c>
      <c r="Y400" s="1139">
        <f>SUMIF(I384:I403,"목",K384:K403)</f>
        <v>0</v>
      </c>
      <c r="Z400" s="1164">
        <f>COUNTIF(AJ384:AJ403,"목국")+COUNTIF(AJ384:AJ403,"목공")</f>
        <v>0</v>
      </c>
      <c r="AA400" s="1165">
        <f>COUNTIF(AK384:AK403,"목국")+COUNTIF(AK384:AK403,"목공")</f>
        <v>0</v>
      </c>
      <c r="AB400" s="1164" t="s">
        <v>26</v>
      </c>
      <c r="AC400" s="1164">
        <f>SUMIF(AJ384:AJ403,"목국",F384:F403)+SUMIF(AJ384:AJ403,"목공",F384:F403)</f>
        <v>0</v>
      </c>
      <c r="AD400" s="1165">
        <f>SUMIF(AK384:AK403,"목국",K384:K403)+SUMIF(AK384:AK403,"목공",K384:K403)</f>
        <v>0</v>
      </c>
      <c r="AE400" s="1138">
        <f t="shared" si="84"/>
        <v>0</v>
      </c>
      <c r="AF400" s="1139">
        <f t="shared" si="84"/>
        <v>0</v>
      </c>
      <c r="AG400" s="1138" t="s">
        <v>26</v>
      </c>
      <c r="AH400" s="1138">
        <f t="shared" si="85"/>
        <v>0</v>
      </c>
      <c r="AI400" s="1139">
        <f t="shared" si="85"/>
        <v>0</v>
      </c>
      <c r="AJ400" s="1138" t="str">
        <f t="shared" si="86"/>
        <v/>
      </c>
      <c r="AK400" s="1138" t="str">
        <f t="shared" si="87"/>
        <v/>
      </c>
    </row>
    <row r="401" spans="1:60" ht="24" hidden="1" customHeight="1" x14ac:dyDescent="0.15">
      <c r="A401" s="160">
        <v>378</v>
      </c>
      <c r="B401" s="235"/>
      <c r="C401" s="235"/>
      <c r="D401" s="235"/>
      <c r="E401" s="357"/>
      <c r="F401" s="357"/>
      <c r="G401" s="417"/>
      <c r="H401" s="504"/>
      <c r="I401" s="504"/>
      <c r="J401" s="417"/>
      <c r="K401" s="417"/>
      <c r="L401" s="374"/>
      <c r="M401" s="353"/>
      <c r="N401" s="526"/>
      <c r="O401" s="1214"/>
      <c r="P401" s="1231"/>
      <c r="Q401" s="353"/>
      <c r="R401" s="1231"/>
      <c r="S401" s="1232"/>
      <c r="T401" s="1142"/>
      <c r="U401" s="1142"/>
      <c r="V401" s="1143"/>
      <c r="W401" s="1142"/>
      <c r="X401" s="1142"/>
      <c r="Y401" s="1143"/>
      <c r="Z401" s="1164"/>
      <c r="AA401" s="1165"/>
      <c r="AB401" s="1173"/>
      <c r="AC401" s="1164"/>
      <c r="AD401" s="1165"/>
      <c r="AE401" s="1142"/>
      <c r="AF401" s="1143"/>
      <c r="AG401" s="1142"/>
      <c r="AH401" s="1142"/>
      <c r="AI401" s="1143"/>
      <c r="AJ401" s="1138" t="str">
        <f t="shared" si="86"/>
        <v/>
      </c>
      <c r="AK401" s="1138" t="str">
        <f t="shared" si="87"/>
        <v/>
      </c>
    </row>
    <row r="402" spans="1:60" ht="24" hidden="1" customHeight="1" x14ac:dyDescent="0.15">
      <c r="A402" s="160">
        <v>379</v>
      </c>
      <c r="B402" s="235"/>
      <c r="C402" s="235"/>
      <c r="D402" s="235"/>
      <c r="E402" s="357"/>
      <c r="F402" s="357"/>
      <c r="G402" s="417"/>
      <c r="H402" s="504"/>
      <c r="I402" s="504"/>
      <c r="J402" s="417"/>
      <c r="K402" s="417"/>
      <c r="L402" s="374"/>
      <c r="M402" s="353"/>
      <c r="N402" s="526"/>
      <c r="O402" s="1214"/>
      <c r="P402" s="1231"/>
      <c r="Q402" s="353"/>
      <c r="R402" s="1231"/>
      <c r="S402" s="1232"/>
      <c r="T402" s="1142"/>
      <c r="U402" s="1142"/>
      <c r="V402" s="1143"/>
      <c r="W402" s="1142"/>
      <c r="X402" s="1142"/>
      <c r="Y402" s="1143"/>
      <c r="Z402" s="1164"/>
      <c r="AA402" s="1165"/>
      <c r="AB402" s="1173"/>
      <c r="AC402" s="1164"/>
      <c r="AD402" s="1165"/>
      <c r="AE402" s="1142"/>
      <c r="AF402" s="1143"/>
      <c r="AG402" s="1142"/>
      <c r="AH402" s="1142"/>
      <c r="AI402" s="1143"/>
      <c r="AJ402" s="1138" t="str">
        <f t="shared" si="86"/>
        <v/>
      </c>
      <c r="AK402" s="1138" t="str">
        <f t="shared" si="87"/>
        <v/>
      </c>
    </row>
    <row r="403" spans="1:60" ht="24" hidden="1" customHeight="1" x14ac:dyDescent="0.15">
      <c r="A403" s="160">
        <v>380</v>
      </c>
      <c r="B403" s="235"/>
      <c r="C403" s="235"/>
      <c r="D403" s="235"/>
      <c r="E403" s="357"/>
      <c r="F403" s="357"/>
      <c r="G403" s="417"/>
      <c r="H403" s="504"/>
      <c r="I403" s="504"/>
      <c r="J403" s="417"/>
      <c r="K403" s="417"/>
      <c r="L403" s="374"/>
      <c r="M403" s="353"/>
      <c r="N403" s="526"/>
      <c r="O403" s="1214"/>
      <c r="P403" s="1231"/>
      <c r="Q403" s="353"/>
      <c r="R403" s="1231"/>
      <c r="S403" s="1232"/>
      <c r="T403" s="1144" t="s">
        <v>37</v>
      </c>
      <c r="U403" s="1144">
        <f>COUNTIF(D384:D403,"철")</f>
        <v>0</v>
      </c>
      <c r="V403" s="1145">
        <f>COUNTIF(I384:I403,"철")</f>
        <v>0</v>
      </c>
      <c r="W403" s="1144" t="s">
        <v>26</v>
      </c>
      <c r="X403" s="1144">
        <f>SUMIF(D384:D403,"철",F384:F403)</f>
        <v>0</v>
      </c>
      <c r="Y403" s="1145">
        <f>SUMIF(I384:I403,"철",K384:K403)</f>
        <v>0</v>
      </c>
      <c r="Z403" s="1164">
        <f>COUNTIF(AJ384:AJ403,"철국")+COUNTIF(AJ384:AJ403,"철공")</f>
        <v>0</v>
      </c>
      <c r="AA403" s="1165">
        <f>COUNTIF(AK384:AK403,"철국")+COUNTIF(AK384:AK403,"철공")</f>
        <v>0</v>
      </c>
      <c r="AB403" s="1174" t="s">
        <v>26</v>
      </c>
      <c r="AC403" s="1164">
        <f>SUMIF(AJ384:AJ403,"철국",F384:F403)+SUMIF(AJ384:AJ403,"철공",F384:F403)</f>
        <v>0</v>
      </c>
      <c r="AD403" s="1165">
        <f>SUMIF(AK384:AK403,"철국",K384:K403)+SUMIF(AK384:AK403,"철공",K384:K403)</f>
        <v>0</v>
      </c>
      <c r="AE403" s="1144"/>
      <c r="AF403" s="1145"/>
      <c r="AG403" s="1144"/>
      <c r="AH403" s="1144"/>
      <c r="AI403" s="1145"/>
      <c r="AJ403" s="1138" t="str">
        <f t="shared" si="86"/>
        <v/>
      </c>
      <c r="AK403" s="1138" t="str">
        <f t="shared" si="87"/>
        <v/>
      </c>
    </row>
    <row r="404" spans="1:60" ht="24" hidden="1" customHeight="1" thickBot="1" x14ac:dyDescent="0.2">
      <c r="A404" s="1215" t="s">
        <v>48</v>
      </c>
      <c r="B404" s="1216"/>
      <c r="C404" s="1216"/>
      <c r="D404" s="1216"/>
      <c r="E404" s="1217"/>
      <c r="F404" s="1148">
        <f>SUM(F384:F403)</f>
        <v>0</v>
      </c>
      <c r="G404" s="1218"/>
      <c r="H404" s="1219"/>
      <c r="I404" s="1219"/>
      <c r="J404" s="1218"/>
      <c r="K404" s="1202">
        <f>SUM(K384:K403)</f>
        <v>0</v>
      </c>
      <c r="L404" s="1220"/>
      <c r="M404" s="1221"/>
      <c r="N404" s="1222"/>
      <c r="O404" s="1223"/>
      <c r="P404" s="1234"/>
      <c r="Q404" s="1234"/>
      <c r="R404" s="1234"/>
      <c r="S404" s="1235"/>
      <c r="T404" s="1156" t="s">
        <v>24</v>
      </c>
      <c r="U404" s="1157">
        <f t="shared" ref="U404:AA404" si="88">SUM(U384:U403)</f>
        <v>0</v>
      </c>
      <c r="V404" s="1157">
        <f t="shared" si="88"/>
        <v>0</v>
      </c>
      <c r="W404" s="1157">
        <f t="shared" si="88"/>
        <v>0</v>
      </c>
      <c r="X404" s="1157">
        <f t="shared" si="88"/>
        <v>0</v>
      </c>
      <c r="Y404" s="1157">
        <f t="shared" si="88"/>
        <v>0</v>
      </c>
      <c r="Z404" s="1164">
        <f t="shared" si="88"/>
        <v>0</v>
      </c>
      <c r="AA404" s="1165">
        <f t="shared" si="88"/>
        <v>0</v>
      </c>
      <c r="AB404" s="1164" t="s">
        <v>26</v>
      </c>
      <c r="AC404" s="1164">
        <f>SUM(AC384:AC403)</f>
        <v>0</v>
      </c>
      <c r="AD404" s="1165">
        <f>SUM(AD384:AD403)</f>
        <v>0</v>
      </c>
      <c r="AE404" s="1157">
        <f>SUM(AE384:AE403)</f>
        <v>0</v>
      </c>
      <c r="AF404" s="1157">
        <f>SUM(AF384:AF403)</f>
        <v>0</v>
      </c>
      <c r="AG404" s="1157" t="s">
        <v>26</v>
      </c>
      <c r="AH404" s="1157">
        <f>SUM(AH384:AH403)</f>
        <v>0</v>
      </c>
      <c r="AI404" s="1157">
        <f>SUM(AI384:AI403)</f>
        <v>0</v>
      </c>
      <c r="AJ404" s="1157"/>
      <c r="AK404" s="1134"/>
      <c r="AL404" s="66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</row>
    <row r="405" spans="1:60" ht="24" hidden="1" customHeight="1" x14ac:dyDescent="0.15">
      <c r="A405" s="159">
        <v>381</v>
      </c>
      <c r="B405" s="270"/>
      <c r="C405" s="270"/>
      <c r="D405" s="270"/>
      <c r="E405" s="369"/>
      <c r="F405" s="369"/>
      <c r="G405" s="488"/>
      <c r="H405" s="1225"/>
      <c r="I405" s="1225"/>
      <c r="J405" s="488"/>
      <c r="K405" s="488"/>
      <c r="L405" s="1226"/>
      <c r="M405" s="1210"/>
      <c r="N405" s="1227"/>
      <c r="O405" s="1228"/>
      <c r="P405" s="1210"/>
      <c r="Q405" s="1210"/>
      <c r="R405" s="1210"/>
      <c r="S405" s="1211"/>
      <c r="T405" s="1138" t="s">
        <v>27</v>
      </c>
      <c r="U405" s="1138">
        <f>COUNTIF(D405:D424,"전")</f>
        <v>0</v>
      </c>
      <c r="V405" s="1139">
        <f>COUNTIF(I405:I424,"전")</f>
        <v>0</v>
      </c>
      <c r="W405" s="1138" t="s">
        <v>26</v>
      </c>
      <c r="X405" s="1138">
        <f>SUMIF(D405:D424,"전",F405:F424)</f>
        <v>0</v>
      </c>
      <c r="Y405" s="1139">
        <f>SUMIF(I405:I424,"전",K405:K424)</f>
        <v>0</v>
      </c>
      <c r="Z405" s="1164">
        <f>COUNTIF(AJ405:AJ424,"전국")+COUNTIF(AJ405:AJ424,"전공")</f>
        <v>0</v>
      </c>
      <c r="AA405" s="1165">
        <f>COUNTIF(AK405:AK424,"전국")+COUNTIF(AK405:AK424,"전공")</f>
        <v>0</v>
      </c>
      <c r="AB405" s="1164" t="s">
        <v>26</v>
      </c>
      <c r="AC405" s="1164">
        <f>SUMIF(AJ405:AJ424,"전국",F405:F424)+SUMIF(AJ405:AJ424,"전공",F405:F424)</f>
        <v>0</v>
      </c>
      <c r="AD405" s="1165">
        <f>SUMIF(AK405:AK424,"전국",K405:K424)+SUMIF(AK405:AK424,"전공",K405:K424)</f>
        <v>0</v>
      </c>
      <c r="AE405" s="1138">
        <f t="shared" ref="AE405:AF421" si="89">U405-Z405</f>
        <v>0</v>
      </c>
      <c r="AF405" s="1139">
        <f t="shared" si="89"/>
        <v>0</v>
      </c>
      <c r="AG405" s="1138" t="s">
        <v>26</v>
      </c>
      <c r="AH405" s="1138">
        <f t="shared" ref="AH405:AI421" si="90">X405-AC405</f>
        <v>0</v>
      </c>
      <c r="AI405" s="1139">
        <f t="shared" si="90"/>
        <v>0</v>
      </c>
      <c r="AJ405" s="1138" t="str">
        <f t="shared" ref="AJ405:AJ424" si="91">CONCATENATE(D405,L405)</f>
        <v/>
      </c>
      <c r="AK405" s="1138" t="str">
        <f t="shared" ref="AK405:AK424" si="92">CONCATENATE(I405,L405)</f>
        <v/>
      </c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</row>
    <row r="406" spans="1:60" ht="24" hidden="1" customHeight="1" x14ac:dyDescent="0.15">
      <c r="A406" s="160">
        <v>382</v>
      </c>
      <c r="B406" s="235"/>
      <c r="C406" s="235"/>
      <c r="D406" s="235"/>
      <c r="E406" s="357"/>
      <c r="F406" s="357"/>
      <c r="G406" s="417"/>
      <c r="H406" s="504"/>
      <c r="I406" s="504"/>
      <c r="J406" s="417"/>
      <c r="K406" s="417"/>
      <c r="L406" s="374"/>
      <c r="M406" s="353"/>
      <c r="N406" s="526"/>
      <c r="O406" s="1214"/>
      <c r="P406" s="353"/>
      <c r="Q406" s="353"/>
      <c r="R406" s="353"/>
      <c r="S406" s="1209"/>
      <c r="T406" s="1138" t="s">
        <v>28</v>
      </c>
      <c r="U406" s="1138">
        <f>COUNTIF(D405:D424,"답")</f>
        <v>0</v>
      </c>
      <c r="V406" s="1139">
        <f>COUNTIF(I405:I424,"답")</f>
        <v>0</v>
      </c>
      <c r="W406" s="1138" t="s">
        <v>26</v>
      </c>
      <c r="X406" s="1138">
        <f>SUMIF(D405:D424,"답",F405:F424)</f>
        <v>0</v>
      </c>
      <c r="Y406" s="1139">
        <f>SUMIF(I405:I424,"답",K405:K424)</f>
        <v>0</v>
      </c>
      <c r="Z406" s="1164">
        <f>COUNTIF(AJ405:AJ424,"답국")+COUNTIF(AJ405:AJ424,"답공")</f>
        <v>0</v>
      </c>
      <c r="AA406" s="1165">
        <f>COUNTIF(AK405:AK424,"답국")+COUNTIF(AK405:AK424,"답공")</f>
        <v>0</v>
      </c>
      <c r="AB406" s="1164" t="s">
        <v>26</v>
      </c>
      <c r="AC406" s="1164">
        <f>SUMIF(AJ405:AJ424,"답국",F405:F424)+SUMIF(AJ405:AJ424,"답공",F405:F424)</f>
        <v>0</v>
      </c>
      <c r="AD406" s="1165">
        <f>SUMIF(AK405:AK424,"답국",K405:K424)+SUMIF(AK405:AK424,"답공",K405:K424)</f>
        <v>0</v>
      </c>
      <c r="AE406" s="1138">
        <f t="shared" si="89"/>
        <v>0</v>
      </c>
      <c r="AF406" s="1139">
        <f t="shared" si="89"/>
        <v>0</v>
      </c>
      <c r="AG406" s="1138" t="s">
        <v>26</v>
      </c>
      <c r="AH406" s="1138">
        <f t="shared" si="90"/>
        <v>0</v>
      </c>
      <c r="AI406" s="1139">
        <f t="shared" si="90"/>
        <v>0</v>
      </c>
      <c r="AJ406" s="1138" t="str">
        <f t="shared" si="91"/>
        <v/>
      </c>
      <c r="AK406" s="1138" t="str">
        <f t="shared" si="92"/>
        <v/>
      </c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</row>
    <row r="407" spans="1:60" ht="24" hidden="1" customHeight="1" x14ac:dyDescent="0.15">
      <c r="A407" s="160">
        <v>383</v>
      </c>
      <c r="B407" s="235"/>
      <c r="C407" s="235"/>
      <c r="D407" s="235"/>
      <c r="E407" s="357"/>
      <c r="F407" s="357"/>
      <c r="G407" s="417"/>
      <c r="H407" s="504"/>
      <c r="I407" s="504"/>
      <c r="J407" s="417"/>
      <c r="K407" s="417"/>
      <c r="L407" s="374"/>
      <c r="M407" s="353"/>
      <c r="N407" s="526"/>
      <c r="O407" s="1214"/>
      <c r="P407" s="353"/>
      <c r="Q407" s="353"/>
      <c r="R407" s="353"/>
      <c r="S407" s="1209"/>
      <c r="T407" s="1138" t="s">
        <v>44</v>
      </c>
      <c r="U407" s="1138">
        <f>COUNTIF(D405:D424,"임")</f>
        <v>0</v>
      </c>
      <c r="V407" s="1139">
        <f>COUNTIF(I405:I424,"임")</f>
        <v>0</v>
      </c>
      <c r="W407" s="1138" t="s">
        <v>26</v>
      </c>
      <c r="X407" s="1138">
        <f>SUMIF(D405:D424,"임",F405:F424)</f>
        <v>0</v>
      </c>
      <c r="Y407" s="1139">
        <f>SUMIF(I405:I424,"임",K405:K424)</f>
        <v>0</v>
      </c>
      <c r="Z407" s="1164">
        <f>COUNTIF(AJ405:AJ424,"임국")+COUNTIF(AJ405:AJ424,"임공")</f>
        <v>0</v>
      </c>
      <c r="AA407" s="1165">
        <f>COUNTIF(AK405:AK424,"임국")+COUNTIF(AK405:AK424,"임공")</f>
        <v>0</v>
      </c>
      <c r="AB407" s="1164" t="s">
        <v>26</v>
      </c>
      <c r="AC407" s="1164">
        <f>SUMIF(AJ405:AJ424,"임국",F405:F424)+SUMIF(AJ405:AJ424,"임공",F405:F424)</f>
        <v>0</v>
      </c>
      <c r="AD407" s="1165">
        <f>SUMIF(AK405:AK424,"임국",K405:K424)+SUMIF(AK405:AK424,"임공",K405:K424)</f>
        <v>0</v>
      </c>
      <c r="AE407" s="1138">
        <f t="shared" si="89"/>
        <v>0</v>
      </c>
      <c r="AF407" s="1139">
        <f t="shared" si="89"/>
        <v>0</v>
      </c>
      <c r="AG407" s="1138" t="s">
        <v>26</v>
      </c>
      <c r="AH407" s="1138">
        <f t="shared" si="90"/>
        <v>0</v>
      </c>
      <c r="AI407" s="1139">
        <f t="shared" si="90"/>
        <v>0</v>
      </c>
      <c r="AJ407" s="1138" t="str">
        <f t="shared" si="91"/>
        <v/>
      </c>
      <c r="AK407" s="1138" t="str">
        <f t="shared" si="92"/>
        <v/>
      </c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</row>
    <row r="408" spans="1:60" ht="24" hidden="1" customHeight="1" x14ac:dyDescent="0.15">
      <c r="A408" s="160">
        <v>384</v>
      </c>
      <c r="B408" s="235"/>
      <c r="C408" s="235"/>
      <c r="D408" s="235"/>
      <c r="E408" s="357"/>
      <c r="F408" s="357"/>
      <c r="G408" s="417"/>
      <c r="H408" s="504"/>
      <c r="I408" s="504"/>
      <c r="J408" s="417"/>
      <c r="K408" s="417"/>
      <c r="L408" s="374"/>
      <c r="M408" s="353"/>
      <c r="N408" s="526"/>
      <c r="O408" s="1214"/>
      <c r="P408" s="353"/>
      <c r="Q408" s="353"/>
      <c r="R408" s="353"/>
      <c r="S408" s="1209"/>
      <c r="T408" s="1138" t="s">
        <v>45</v>
      </c>
      <c r="U408" s="1138">
        <f>COUNTIF(D405:D424,"대")</f>
        <v>0</v>
      </c>
      <c r="V408" s="1139">
        <f>COUNTIF(I405:I424,"대")</f>
        <v>0</v>
      </c>
      <c r="W408" s="1138" t="s">
        <v>26</v>
      </c>
      <c r="X408" s="1138">
        <f>SUMIF(D405:D424,"대",F405:F424)</f>
        <v>0</v>
      </c>
      <c r="Y408" s="1139">
        <f>SUMIF(I405:I424,"대",K405:K424)</f>
        <v>0</v>
      </c>
      <c r="Z408" s="1164">
        <f>COUNTIF(AJ405:AJ424,"대국")+COUNTIF(AJ405:AJ424,"대공")</f>
        <v>0</v>
      </c>
      <c r="AA408" s="1165">
        <f>COUNTIF(AK405:AK424,"대국")+COUNTIF(AK405:AK424,"대공")</f>
        <v>0</v>
      </c>
      <c r="AB408" s="1164" t="s">
        <v>26</v>
      </c>
      <c r="AC408" s="1164">
        <f>SUMIF(AJ405:AJ424,"대국",F405:F424)+SUMIF(AJ405:AJ424,"대공",F405:F424)</f>
        <v>0</v>
      </c>
      <c r="AD408" s="1165">
        <f>SUMIF(AK405:AK424,"대국",K405:K424)+SUMIF(AK405:AK424,"대공",K405:K424)</f>
        <v>0</v>
      </c>
      <c r="AE408" s="1138">
        <f t="shared" si="89"/>
        <v>0</v>
      </c>
      <c r="AF408" s="1139">
        <f t="shared" si="89"/>
        <v>0</v>
      </c>
      <c r="AG408" s="1138" t="s">
        <v>26</v>
      </c>
      <c r="AH408" s="1138">
        <f t="shared" si="90"/>
        <v>0</v>
      </c>
      <c r="AI408" s="1139">
        <f t="shared" si="90"/>
        <v>0</v>
      </c>
      <c r="AJ408" s="1138" t="str">
        <f t="shared" si="91"/>
        <v/>
      </c>
      <c r="AK408" s="1138" t="str">
        <f t="shared" si="92"/>
        <v/>
      </c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</row>
    <row r="409" spans="1:60" ht="24" hidden="1" customHeight="1" x14ac:dyDescent="0.15">
      <c r="A409" s="160">
        <v>385</v>
      </c>
      <c r="B409" s="235"/>
      <c r="C409" s="235"/>
      <c r="D409" s="235"/>
      <c r="E409" s="357"/>
      <c r="F409" s="357"/>
      <c r="G409" s="417"/>
      <c r="H409" s="504"/>
      <c r="I409" s="504"/>
      <c r="J409" s="417"/>
      <c r="K409" s="417"/>
      <c r="L409" s="374"/>
      <c r="M409" s="353"/>
      <c r="N409" s="526"/>
      <c r="O409" s="1214"/>
      <c r="P409" s="353"/>
      <c r="Q409" s="353"/>
      <c r="R409" s="353"/>
      <c r="S409" s="1209"/>
      <c r="T409" s="1138" t="s">
        <v>31</v>
      </c>
      <c r="U409" s="1138">
        <f>COUNTIF(D405:D424,"도")</f>
        <v>0</v>
      </c>
      <c r="V409" s="1139">
        <f>COUNTIF(I405:I424,"도")</f>
        <v>0</v>
      </c>
      <c r="W409" s="1138" t="s">
        <v>26</v>
      </c>
      <c r="X409" s="1138">
        <f>SUMIF(D405:D424,"도",F405:F424)</f>
        <v>0</v>
      </c>
      <c r="Y409" s="1139">
        <f>SUMIF(I405:I424,"도",K405:K424)</f>
        <v>0</v>
      </c>
      <c r="Z409" s="1164">
        <f>COUNTIF(AJ405:AJ424,"도국")+COUNTIF(AJ405:AJ424,"도공")</f>
        <v>0</v>
      </c>
      <c r="AA409" s="1165">
        <f>COUNTIF(AK405:AK424,"도국")+COUNTIF(AK405:AK424,"도공")</f>
        <v>0</v>
      </c>
      <c r="AB409" s="1164" t="s">
        <v>26</v>
      </c>
      <c r="AC409" s="1164">
        <f>SUMIF(AJ405:AJ424,"도국",F405:F424)+SUMIF(AJ405:AJ424,"도공",F405:F424)</f>
        <v>0</v>
      </c>
      <c r="AD409" s="1165">
        <f>SUMIF(AK405:AK424,"도국",K405:K424)+SUMIF(AK405:AK424,"도공",K405:K424)</f>
        <v>0</v>
      </c>
      <c r="AE409" s="1138">
        <f t="shared" si="89"/>
        <v>0</v>
      </c>
      <c r="AF409" s="1139">
        <f t="shared" si="89"/>
        <v>0</v>
      </c>
      <c r="AG409" s="1138" t="s">
        <v>26</v>
      </c>
      <c r="AH409" s="1138">
        <f t="shared" si="90"/>
        <v>0</v>
      </c>
      <c r="AI409" s="1139">
        <f t="shared" si="90"/>
        <v>0</v>
      </c>
      <c r="AJ409" s="1138" t="str">
        <f t="shared" si="91"/>
        <v/>
      </c>
      <c r="AK409" s="1138" t="str">
        <f t="shared" si="92"/>
        <v/>
      </c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</row>
    <row r="410" spans="1:60" ht="24" hidden="1" customHeight="1" x14ac:dyDescent="0.15">
      <c r="A410" s="160">
        <v>386</v>
      </c>
      <c r="B410" s="235"/>
      <c r="C410" s="235"/>
      <c r="D410" s="235"/>
      <c r="E410" s="357"/>
      <c r="F410" s="357"/>
      <c r="G410" s="417"/>
      <c r="H410" s="504"/>
      <c r="I410" s="504"/>
      <c r="J410" s="417"/>
      <c r="K410" s="417"/>
      <c r="L410" s="374"/>
      <c r="M410" s="1229"/>
      <c r="N410" s="526"/>
      <c r="O410" s="1214"/>
      <c r="P410" s="353"/>
      <c r="Q410" s="353"/>
      <c r="R410" s="353"/>
      <c r="S410" s="1209"/>
      <c r="T410" s="1138" t="s">
        <v>32</v>
      </c>
      <c r="U410" s="1140">
        <f>COUNTIF(D405:D424,"천")</f>
        <v>0</v>
      </c>
      <c r="V410" s="1141">
        <f>COUNTIF(I405:I424,"천")</f>
        <v>0</v>
      </c>
      <c r="W410" s="1138" t="s">
        <v>26</v>
      </c>
      <c r="X410" s="1138">
        <f>SUMIF(D405:D424,"천",F405:F424)</f>
        <v>0</v>
      </c>
      <c r="Y410" s="1139">
        <f>SUMIF(I405:I424,"천",K405:K424)</f>
        <v>0</v>
      </c>
      <c r="Z410" s="1164">
        <f>COUNTIF(AJ405:AJ424,"천국")+COUNTIF(AJ405:AJ424,"천공")</f>
        <v>0</v>
      </c>
      <c r="AA410" s="1165">
        <f>COUNTIF(AK405:AK424,"천국")+COUNTIF(AK405:AK424,"천공")</f>
        <v>0</v>
      </c>
      <c r="AB410" s="1164" t="s">
        <v>26</v>
      </c>
      <c r="AC410" s="1164">
        <f>SUMIF(AJ405:AJ424,"천국",F405:F424)+SUMIF(AJ405:AJ424,"천공",F405:F424)</f>
        <v>0</v>
      </c>
      <c r="AD410" s="1165">
        <f>SUMIF(AK405:AK424,"천국",K405:K424)+SUMIF(AK405:AK424,"천공",K405:K424)</f>
        <v>0</v>
      </c>
      <c r="AE410" s="1138">
        <f t="shared" si="89"/>
        <v>0</v>
      </c>
      <c r="AF410" s="1139">
        <f t="shared" si="89"/>
        <v>0</v>
      </c>
      <c r="AG410" s="1138" t="s">
        <v>26</v>
      </c>
      <c r="AH410" s="1138">
        <f t="shared" si="90"/>
        <v>0</v>
      </c>
      <c r="AI410" s="1139">
        <f t="shared" si="90"/>
        <v>0</v>
      </c>
      <c r="AJ410" s="1138" t="str">
        <f t="shared" si="91"/>
        <v/>
      </c>
      <c r="AK410" s="1138" t="str">
        <f t="shared" si="92"/>
        <v/>
      </c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</row>
    <row r="411" spans="1:60" ht="24" hidden="1" customHeight="1" x14ac:dyDescent="0.15">
      <c r="A411" s="160">
        <v>387</v>
      </c>
      <c r="B411" s="235"/>
      <c r="C411" s="235"/>
      <c r="D411" s="235"/>
      <c r="E411" s="357"/>
      <c r="F411" s="357"/>
      <c r="G411" s="417"/>
      <c r="H411" s="504"/>
      <c r="I411" s="504"/>
      <c r="J411" s="417"/>
      <c r="K411" s="417"/>
      <c r="L411" s="374"/>
      <c r="M411" s="353"/>
      <c r="N411" s="526"/>
      <c r="O411" s="1214"/>
      <c r="P411" s="353"/>
      <c r="Q411" s="353"/>
      <c r="R411" s="353"/>
      <c r="S411" s="1209"/>
      <c r="T411" s="1138" t="s">
        <v>33</v>
      </c>
      <c r="U411" s="1138">
        <f>COUNTIF(D405:D424,"구")</f>
        <v>0</v>
      </c>
      <c r="V411" s="1139">
        <f>COUNTIF(I405:I424,"구")</f>
        <v>0</v>
      </c>
      <c r="W411" s="1138" t="s">
        <v>26</v>
      </c>
      <c r="X411" s="1138">
        <f>SUMIF(D405:D424,"구",F405:F424)</f>
        <v>0</v>
      </c>
      <c r="Y411" s="1139">
        <f>SUMIF(I405:I424,"구",K405:K424)</f>
        <v>0</v>
      </c>
      <c r="Z411" s="1164">
        <f>COUNTIF(AJ405:AJ424,"구국")+COUNTIF(AJ405:AJ424,"구공")</f>
        <v>0</v>
      </c>
      <c r="AA411" s="1165">
        <f>COUNTIF(AK405:AK424,"구국")+COUNTIF(AK405:AK424,"구공")</f>
        <v>0</v>
      </c>
      <c r="AB411" s="1164" t="s">
        <v>26</v>
      </c>
      <c r="AC411" s="1164">
        <f>SUMIF(AJ405:AJ424,"구국",F405:F424)+SUMIF(AJ405:AJ424,"구공",F405:F424)</f>
        <v>0</v>
      </c>
      <c r="AD411" s="1165">
        <f>SUMIF(AK405:AK424,"구국",K405:K424)+SUMIF(AK405:AK424,"구공",K405:K424)</f>
        <v>0</v>
      </c>
      <c r="AE411" s="1138">
        <f t="shared" si="89"/>
        <v>0</v>
      </c>
      <c r="AF411" s="1139">
        <f t="shared" si="89"/>
        <v>0</v>
      </c>
      <c r="AG411" s="1138" t="s">
        <v>26</v>
      </c>
      <c r="AH411" s="1138">
        <f t="shared" si="90"/>
        <v>0</v>
      </c>
      <c r="AI411" s="1139">
        <f t="shared" si="90"/>
        <v>0</v>
      </c>
      <c r="AJ411" s="1138" t="str">
        <f t="shared" si="91"/>
        <v/>
      </c>
      <c r="AK411" s="1138" t="str">
        <f t="shared" si="92"/>
        <v/>
      </c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</row>
    <row r="412" spans="1:60" ht="24" hidden="1" customHeight="1" x14ac:dyDescent="0.15">
      <c r="A412" s="160">
        <v>388</v>
      </c>
      <c r="B412" s="235"/>
      <c r="C412" s="235"/>
      <c r="D412" s="235"/>
      <c r="E412" s="357"/>
      <c r="F412" s="357"/>
      <c r="G412" s="417"/>
      <c r="H412" s="504"/>
      <c r="I412" s="504"/>
      <c r="J412" s="417"/>
      <c r="K412" s="417"/>
      <c r="L412" s="374"/>
      <c r="M412" s="353"/>
      <c r="N412" s="526"/>
      <c r="O412" s="1214"/>
      <c r="P412" s="353"/>
      <c r="Q412" s="353"/>
      <c r="R412" s="353"/>
      <c r="S412" s="1209"/>
      <c r="T412" s="1138" t="s">
        <v>34</v>
      </c>
      <c r="U412" s="1138">
        <f>COUNTIF(D405:D424,"제")</f>
        <v>0</v>
      </c>
      <c r="V412" s="1139">
        <f>COUNTIF(I405:I424,"제")</f>
        <v>0</v>
      </c>
      <c r="W412" s="1138" t="s">
        <v>26</v>
      </c>
      <c r="X412" s="1138">
        <f>SUMIF(D405:D424,"제",F405:F424)</f>
        <v>0</v>
      </c>
      <c r="Y412" s="1139">
        <f>SUMIF(I405:I424,"제",K405:K424)</f>
        <v>0</v>
      </c>
      <c r="Z412" s="1164">
        <f>COUNTIF(AJ405:AJ424,"제국")+COUNTIF(AJ405:AJ424,"제공")</f>
        <v>0</v>
      </c>
      <c r="AA412" s="1165">
        <f>COUNTIF(AK405:AK424,"제국")+COUNTIF(AK405:AK424,"제공")</f>
        <v>0</v>
      </c>
      <c r="AB412" s="1164" t="s">
        <v>26</v>
      </c>
      <c r="AC412" s="1164">
        <f>SUMIF(AJ405:AJ424,"제국",F405:F424)+SUMIF(AJ405:AJ424,"제공",F405:F424)</f>
        <v>0</v>
      </c>
      <c r="AD412" s="1165">
        <f>SUMIF(AK405:AK424,"제국",K405:K424)+SUMIF(AK405:AK424,"제공",K405:K424)</f>
        <v>0</v>
      </c>
      <c r="AE412" s="1138">
        <f t="shared" si="89"/>
        <v>0</v>
      </c>
      <c r="AF412" s="1139">
        <f t="shared" si="89"/>
        <v>0</v>
      </c>
      <c r="AG412" s="1138" t="s">
        <v>26</v>
      </c>
      <c r="AH412" s="1138">
        <f t="shared" si="90"/>
        <v>0</v>
      </c>
      <c r="AI412" s="1139">
        <f t="shared" si="90"/>
        <v>0</v>
      </c>
      <c r="AJ412" s="1138" t="str">
        <f t="shared" si="91"/>
        <v/>
      </c>
      <c r="AK412" s="1138" t="str">
        <f t="shared" si="92"/>
        <v/>
      </c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</row>
    <row r="413" spans="1:60" ht="24" hidden="1" customHeight="1" x14ac:dyDescent="0.15">
      <c r="A413" s="160">
        <v>389</v>
      </c>
      <c r="B413" s="235"/>
      <c r="C413" s="235"/>
      <c r="D413" s="235"/>
      <c r="E413" s="357"/>
      <c r="F413" s="357"/>
      <c r="G413" s="417"/>
      <c r="H413" s="504"/>
      <c r="I413" s="504"/>
      <c r="J413" s="417"/>
      <c r="K413" s="417"/>
      <c r="L413" s="374"/>
      <c r="M413" s="353"/>
      <c r="N413" s="526"/>
      <c r="O413" s="1214"/>
      <c r="P413" s="353"/>
      <c r="Q413" s="353"/>
      <c r="R413" s="353"/>
      <c r="S413" s="1209"/>
      <c r="T413" s="1138" t="s">
        <v>46</v>
      </c>
      <c r="U413" s="1138">
        <f>COUNTIF(D405:D424,"유")</f>
        <v>0</v>
      </c>
      <c r="V413" s="1139">
        <f>COUNTIF(I405:I424,"유")</f>
        <v>0</v>
      </c>
      <c r="W413" s="1138" t="s">
        <v>26</v>
      </c>
      <c r="X413" s="1138">
        <f>SUMIF(D405:D424,"유",F405:F424)</f>
        <v>0</v>
      </c>
      <c r="Y413" s="1139">
        <f>SUMIF(I405:I424,"유",K405:K424)</f>
        <v>0</v>
      </c>
      <c r="Z413" s="1164">
        <f>COUNTIF(AJ405:AJ424,"유국")+COUNTIF(AJ405:AJ424,"유공")</f>
        <v>0</v>
      </c>
      <c r="AA413" s="1165">
        <f>COUNTIF(AK405:AK424,"유국")+COUNTIF(AK405:AK424,"유공")</f>
        <v>0</v>
      </c>
      <c r="AB413" s="1164" t="s">
        <v>26</v>
      </c>
      <c r="AC413" s="1164">
        <f>SUMIF(AJ405:AJ424,"유국",F405:F424)+SUMIF(AJ405:AJ424,"유공",F405:F424)</f>
        <v>0</v>
      </c>
      <c r="AD413" s="1165">
        <f>SUMIF(AK405:AK424,"유국",K405:K424)+SUMIF(AK405:AK424,"유공",K405:K424)</f>
        <v>0</v>
      </c>
      <c r="AE413" s="1138">
        <f t="shared" si="89"/>
        <v>0</v>
      </c>
      <c r="AF413" s="1139">
        <f t="shared" si="89"/>
        <v>0</v>
      </c>
      <c r="AG413" s="1138" t="s">
        <v>26</v>
      </c>
      <c r="AH413" s="1138">
        <f t="shared" si="90"/>
        <v>0</v>
      </c>
      <c r="AI413" s="1139">
        <f t="shared" si="90"/>
        <v>0</v>
      </c>
      <c r="AJ413" s="1138" t="str">
        <f t="shared" si="91"/>
        <v/>
      </c>
      <c r="AK413" s="1138" t="str">
        <f t="shared" si="92"/>
        <v/>
      </c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</row>
    <row r="414" spans="1:60" ht="24" hidden="1" customHeight="1" x14ac:dyDescent="0.15">
      <c r="A414" s="160">
        <v>390</v>
      </c>
      <c r="B414" s="235"/>
      <c r="C414" s="235"/>
      <c r="D414" s="235"/>
      <c r="E414" s="357"/>
      <c r="F414" s="357"/>
      <c r="G414" s="417"/>
      <c r="H414" s="504"/>
      <c r="I414" s="504"/>
      <c r="J414" s="417"/>
      <c r="K414" s="417"/>
      <c r="L414" s="374"/>
      <c r="M414" s="353"/>
      <c r="N414" s="526"/>
      <c r="O414" s="1214"/>
      <c r="P414" s="353"/>
      <c r="Q414" s="353"/>
      <c r="R414" s="353"/>
      <c r="S414" s="1209"/>
      <c r="T414" s="1138" t="s">
        <v>47</v>
      </c>
      <c r="U414" s="1138">
        <f>COUNTIF(D405:D424,"과")</f>
        <v>0</v>
      </c>
      <c r="V414" s="1139">
        <f>COUNTIF(I405:I424,"과")</f>
        <v>0</v>
      </c>
      <c r="W414" s="1138" t="s">
        <v>26</v>
      </c>
      <c r="X414" s="1138">
        <f>SUMIF(D405:D424,"과",F405:F424)</f>
        <v>0</v>
      </c>
      <c r="Y414" s="1139">
        <f>SUMIF(I405:I424,"과",K405:K424)</f>
        <v>0</v>
      </c>
      <c r="Z414" s="1164">
        <f>COUNTIF(AJ405:AJ424,"과국")+COUNTIF(AJ405:AJ424,"과공")</f>
        <v>0</v>
      </c>
      <c r="AA414" s="1165">
        <f>COUNTIF(AK405:AK424,"과국")+COUNTIF(AK405:AK424,"과공")</f>
        <v>0</v>
      </c>
      <c r="AB414" s="1164" t="s">
        <v>26</v>
      </c>
      <c r="AC414" s="1164">
        <f>SUMIF(AJ405:AJ424,"과국",F405:F424)+SUMIF(AJ405:AJ424,"과공",F405:F424)</f>
        <v>0</v>
      </c>
      <c r="AD414" s="1165">
        <f>SUMIF(AK405:AK424,"과국",K405:K424)+SUMIF(AK405:AK424,"과공",K405:K424)</f>
        <v>0</v>
      </c>
      <c r="AE414" s="1138">
        <f t="shared" si="89"/>
        <v>0</v>
      </c>
      <c r="AF414" s="1139">
        <f t="shared" si="89"/>
        <v>0</v>
      </c>
      <c r="AG414" s="1138" t="s">
        <v>26</v>
      </c>
      <c r="AH414" s="1138">
        <f t="shared" si="90"/>
        <v>0</v>
      </c>
      <c r="AI414" s="1139">
        <f t="shared" si="90"/>
        <v>0</v>
      </c>
      <c r="AJ414" s="1138" t="str">
        <f t="shared" si="91"/>
        <v/>
      </c>
      <c r="AK414" s="1138" t="str">
        <f t="shared" si="92"/>
        <v/>
      </c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</row>
    <row r="415" spans="1:60" ht="24" hidden="1" customHeight="1" x14ac:dyDescent="0.15">
      <c r="A415" s="160">
        <v>391</v>
      </c>
      <c r="B415" s="235"/>
      <c r="C415" s="235"/>
      <c r="D415" s="235"/>
      <c r="E415" s="357"/>
      <c r="F415" s="357"/>
      <c r="G415" s="417"/>
      <c r="H415" s="504"/>
      <c r="I415" s="504"/>
      <c r="J415" s="417"/>
      <c r="K415" s="417"/>
      <c r="L415" s="374"/>
      <c r="M415" s="353"/>
      <c r="N415" s="526"/>
      <c r="O415" s="1214"/>
      <c r="P415" s="353"/>
      <c r="Q415" s="353"/>
      <c r="R415" s="353"/>
      <c r="S415" s="1209"/>
      <c r="T415" s="1138" t="s">
        <v>36</v>
      </c>
      <c r="U415" s="1138">
        <f>COUNTIF(D405:D424,"묘")</f>
        <v>0</v>
      </c>
      <c r="V415" s="1139">
        <f>COUNTIF(I405:I424,"묘")</f>
        <v>0</v>
      </c>
      <c r="W415" s="1138" t="s">
        <v>26</v>
      </c>
      <c r="X415" s="1138">
        <f>SUMIF(D405:D424,"묘",F405:F424)</f>
        <v>0</v>
      </c>
      <c r="Y415" s="1139">
        <f>SUMIF(I405:I424,"묘",K405:K424)</f>
        <v>0</v>
      </c>
      <c r="Z415" s="1164">
        <f>COUNTIF(AJ405:AJ424,"묘국")+COUNTIF(AJ405:AJ424,"묘공")</f>
        <v>0</v>
      </c>
      <c r="AA415" s="1165">
        <f>COUNTIF(AK405:AK424,"묘국")+COUNTIF(AK405:AK424,"묘공")</f>
        <v>0</v>
      </c>
      <c r="AB415" s="1164" t="s">
        <v>26</v>
      </c>
      <c r="AC415" s="1164">
        <f>SUMIF(AJ405:AJ424,"묘국",F405:F424)+SUMIF(AJ405:AJ424,"묘공",F405:F424)</f>
        <v>0</v>
      </c>
      <c r="AD415" s="1165">
        <f>SUMIF(AK405:AK424,"묘국",K405:K424)+SUMIF(AK405:AK424,"묘공",K405:K424)</f>
        <v>0</v>
      </c>
      <c r="AE415" s="1138">
        <f t="shared" si="89"/>
        <v>0</v>
      </c>
      <c r="AF415" s="1139">
        <f t="shared" si="89"/>
        <v>0</v>
      </c>
      <c r="AG415" s="1138" t="s">
        <v>26</v>
      </c>
      <c r="AH415" s="1138">
        <f t="shared" si="90"/>
        <v>0</v>
      </c>
      <c r="AI415" s="1139">
        <f t="shared" si="90"/>
        <v>0</v>
      </c>
      <c r="AJ415" s="1138" t="str">
        <f t="shared" si="91"/>
        <v/>
      </c>
      <c r="AK415" s="1138" t="str">
        <f t="shared" si="92"/>
        <v/>
      </c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</row>
    <row r="416" spans="1:60" ht="24" hidden="1" customHeight="1" x14ac:dyDescent="0.15">
      <c r="A416" s="160">
        <v>392</v>
      </c>
      <c r="B416" s="235"/>
      <c r="C416" s="235"/>
      <c r="D416" s="235"/>
      <c r="E416" s="357"/>
      <c r="F416" s="357"/>
      <c r="G416" s="417"/>
      <c r="H416" s="504"/>
      <c r="I416" s="504"/>
      <c r="J416" s="417"/>
      <c r="K416" s="417"/>
      <c r="L416" s="374"/>
      <c r="M416" s="353"/>
      <c r="N416" s="526"/>
      <c r="O416" s="1214"/>
      <c r="P416" s="1231"/>
      <c r="Q416" s="353"/>
      <c r="R416" s="1231"/>
      <c r="S416" s="1232"/>
      <c r="T416" s="1138" t="s">
        <v>39</v>
      </c>
      <c r="U416" s="1138">
        <f>COUNTIF(D405:D424,"수")</f>
        <v>0</v>
      </c>
      <c r="V416" s="1139">
        <f>COUNTIF(I405:I424,"수")</f>
        <v>0</v>
      </c>
      <c r="W416" s="1138" t="s">
        <v>26</v>
      </c>
      <c r="X416" s="1138">
        <f>SUMIF(D405:D424,"수",F405:F424)</f>
        <v>0</v>
      </c>
      <c r="Y416" s="1139">
        <f>SUMIF(I405:I424,"수",K405:K424)</f>
        <v>0</v>
      </c>
      <c r="Z416" s="1164">
        <f>COUNTIF(AJ405:AJ424,"수국")+COUNTIF(AJ405:AJ424,"수공")</f>
        <v>0</v>
      </c>
      <c r="AA416" s="1165">
        <f>COUNTIF(AK405:AK424,"수국")+COUNTIF(AK405:AK424,"수공")</f>
        <v>0</v>
      </c>
      <c r="AB416" s="1164" t="s">
        <v>26</v>
      </c>
      <c r="AC416" s="1164">
        <f>SUMIF(AJ405:AJ424,"수국",F405:F424)+SUMIF(AJ405:AJ424,"수공",F405:F424)</f>
        <v>0</v>
      </c>
      <c r="AD416" s="1165">
        <f>SUMIF(AK405:AK424,"수국",K405:K424)+SUMIF(AK405:AK424,"수공",K405:K424)</f>
        <v>0</v>
      </c>
      <c r="AE416" s="1138">
        <f t="shared" si="89"/>
        <v>0</v>
      </c>
      <c r="AF416" s="1139">
        <f t="shared" si="89"/>
        <v>0</v>
      </c>
      <c r="AG416" s="1138" t="s">
        <v>26</v>
      </c>
      <c r="AH416" s="1138">
        <f t="shared" si="90"/>
        <v>0</v>
      </c>
      <c r="AI416" s="1139">
        <f t="shared" si="90"/>
        <v>0</v>
      </c>
      <c r="AJ416" s="1138" t="str">
        <f t="shared" si="91"/>
        <v/>
      </c>
      <c r="AK416" s="1138" t="str">
        <f t="shared" si="92"/>
        <v/>
      </c>
    </row>
    <row r="417" spans="1:60" ht="24" hidden="1" customHeight="1" x14ac:dyDescent="0.15">
      <c r="A417" s="160">
        <v>393</v>
      </c>
      <c r="B417" s="235"/>
      <c r="C417" s="235"/>
      <c r="D417" s="235"/>
      <c r="E417" s="357"/>
      <c r="F417" s="357"/>
      <c r="G417" s="417"/>
      <c r="H417" s="504"/>
      <c r="I417" s="504"/>
      <c r="J417" s="417"/>
      <c r="K417" s="417"/>
      <c r="L417" s="374"/>
      <c r="M417" s="353"/>
      <c r="N417" s="526"/>
      <c r="O417" s="1214"/>
      <c r="P417" s="1231"/>
      <c r="Q417" s="353"/>
      <c r="R417" s="1231"/>
      <c r="S417" s="1232"/>
      <c r="T417" s="1138" t="s">
        <v>35</v>
      </c>
      <c r="U417" s="1138">
        <f>COUNTIF(D405:D424,"잡")</f>
        <v>0</v>
      </c>
      <c r="V417" s="1139">
        <f>COUNTIF(I405:I424,"잡")</f>
        <v>0</v>
      </c>
      <c r="W417" s="1138" t="s">
        <v>26</v>
      </c>
      <c r="X417" s="1138">
        <f>SUMIF(D405:D424,"잡",F405:F424)</f>
        <v>0</v>
      </c>
      <c r="Y417" s="1139">
        <f>SUMIF(I405:I424,"잡",K405:K424)</f>
        <v>0</v>
      </c>
      <c r="Z417" s="1164">
        <f>COUNTIF(AJ405:AJ424,"잡국")+COUNTIF(AJ405:AJ424,"잡공")</f>
        <v>0</v>
      </c>
      <c r="AA417" s="1165">
        <f>COUNTIF(AK405:AK424,"잡국")+COUNTIF(AK405:AK424,"잡공")</f>
        <v>0</v>
      </c>
      <c r="AB417" s="1164" t="s">
        <v>26</v>
      </c>
      <c r="AC417" s="1164">
        <f>SUMIF(AJ405:AJ424,"잡국",F405:F424)+SUMIF(AJ405:AJ424,"잡공",F405:F424)</f>
        <v>0</v>
      </c>
      <c r="AD417" s="1165">
        <f>SUMIF(AK405:AK424,"잡국",K405:K424)+SUMIF(AK405:AK424,"잡공",K405:K424)</f>
        <v>0</v>
      </c>
      <c r="AE417" s="1138">
        <f t="shared" si="89"/>
        <v>0</v>
      </c>
      <c r="AF417" s="1139">
        <f t="shared" si="89"/>
        <v>0</v>
      </c>
      <c r="AG417" s="1138" t="s">
        <v>26</v>
      </c>
      <c r="AH417" s="1138">
        <f t="shared" si="90"/>
        <v>0</v>
      </c>
      <c r="AI417" s="1139">
        <f t="shared" si="90"/>
        <v>0</v>
      </c>
      <c r="AJ417" s="1138" t="str">
        <f t="shared" si="91"/>
        <v/>
      </c>
      <c r="AK417" s="1138" t="str">
        <f t="shared" si="92"/>
        <v/>
      </c>
    </row>
    <row r="418" spans="1:60" ht="24" hidden="1" customHeight="1" x14ac:dyDescent="0.15">
      <c r="A418" s="160">
        <v>394</v>
      </c>
      <c r="B418" s="235"/>
      <c r="C418" s="235"/>
      <c r="D418" s="235"/>
      <c r="E418" s="357"/>
      <c r="F418" s="357"/>
      <c r="G418" s="417"/>
      <c r="H418" s="504"/>
      <c r="I418" s="504"/>
      <c r="J418" s="417"/>
      <c r="K418" s="417"/>
      <c r="L418" s="374"/>
      <c r="M418" s="353"/>
      <c r="N418" s="526"/>
      <c r="O418" s="1214"/>
      <c r="P418" s="1231"/>
      <c r="Q418" s="353"/>
      <c r="R418" s="1231"/>
      <c r="S418" s="1232"/>
      <c r="T418" s="1138" t="s">
        <v>221</v>
      </c>
      <c r="U418" s="1138">
        <f>COUNTIF(D405:D424,"창")</f>
        <v>0</v>
      </c>
      <c r="V418" s="1139">
        <f>COUNTIF(I405:I424,"창")</f>
        <v>0</v>
      </c>
      <c r="W418" s="1138" t="s">
        <v>26</v>
      </c>
      <c r="X418" s="1138">
        <f>SUMIF(D405:D424,"창",F405:F424)</f>
        <v>0</v>
      </c>
      <c r="Y418" s="1139">
        <f>SUMIF(I405:I424,"창",K405:K424)</f>
        <v>0</v>
      </c>
      <c r="Z418" s="1164">
        <f>COUNTIF(AJ405:AJ424,"창국")+COUNTIF(AJ405:AJ424,"창공")</f>
        <v>0</v>
      </c>
      <c r="AA418" s="1165">
        <f>COUNTIF(AK405:AK424,"창국")+COUNTIF(AK405:AK424,"창공")</f>
        <v>0</v>
      </c>
      <c r="AB418" s="1164" t="s">
        <v>26</v>
      </c>
      <c r="AC418" s="1164">
        <f>SUMIF(AJ405:AJ424,"창국",F405:F424)+SUMIF(AJ405:AJ424,"창공",F405:F424)</f>
        <v>0</v>
      </c>
      <c r="AD418" s="1165">
        <f>SUMIF(AK405:AK424,"창국",K405:K424)+SUMIF(AK405:AK424,"창공",K405:K424)</f>
        <v>0</v>
      </c>
      <c r="AE418" s="1138">
        <f t="shared" si="89"/>
        <v>0</v>
      </c>
      <c r="AF418" s="1139">
        <f t="shared" si="89"/>
        <v>0</v>
      </c>
      <c r="AG418" s="1138" t="s">
        <v>26</v>
      </c>
      <c r="AH418" s="1138">
        <f t="shared" si="90"/>
        <v>0</v>
      </c>
      <c r="AI418" s="1139">
        <f t="shared" si="90"/>
        <v>0</v>
      </c>
      <c r="AJ418" s="1138" t="str">
        <f t="shared" si="91"/>
        <v/>
      </c>
      <c r="AK418" s="1138" t="str">
        <f t="shared" si="92"/>
        <v/>
      </c>
    </row>
    <row r="419" spans="1:60" ht="24" hidden="1" customHeight="1" x14ac:dyDescent="0.15">
      <c r="A419" s="160">
        <v>395</v>
      </c>
      <c r="B419" s="235"/>
      <c r="C419" s="235"/>
      <c r="D419" s="235"/>
      <c r="E419" s="357"/>
      <c r="F419" s="357"/>
      <c r="G419" s="417"/>
      <c r="H419" s="504"/>
      <c r="I419" s="504"/>
      <c r="J419" s="417"/>
      <c r="K419" s="417"/>
      <c r="L419" s="374"/>
      <c r="M419" s="353"/>
      <c r="N419" s="526"/>
      <c r="O419" s="1214"/>
      <c r="P419" s="1231"/>
      <c r="Q419" s="353"/>
      <c r="R419" s="1231"/>
      <c r="S419" s="1232"/>
      <c r="T419" s="1138" t="s">
        <v>50</v>
      </c>
      <c r="U419" s="1138">
        <f>COUNTIF(D405:D424,"공")</f>
        <v>0</v>
      </c>
      <c r="V419" s="1139">
        <f>COUNTIF(I405:I424,"공")</f>
        <v>0</v>
      </c>
      <c r="W419" s="1138" t="s">
        <v>26</v>
      </c>
      <c r="X419" s="1138">
        <f>SUMIF(D405:D424,"공",F405:F424)</f>
        <v>0</v>
      </c>
      <c r="Y419" s="1139">
        <f>SUMIF(I405:I424,"공",K405:K424)</f>
        <v>0</v>
      </c>
      <c r="Z419" s="1164">
        <f>COUNTIF(AJ405:AJ424,"공국")+COUNTIF(AJ405:AJ424,"공공")</f>
        <v>0</v>
      </c>
      <c r="AA419" s="1165">
        <f>COUNTIF(AK405:AK424,"공국")+COUNTIF(AK405:AK424,"공공")</f>
        <v>0</v>
      </c>
      <c r="AB419" s="1164" t="s">
        <v>26</v>
      </c>
      <c r="AC419" s="1164">
        <f>SUMIF(AJ405:AJ424,"공국",F405:F424)+SUMIF(AJ405:AJ424,"공공",F405:F424)</f>
        <v>0</v>
      </c>
      <c r="AD419" s="1165">
        <f>SUMIF(AK405:AK424,"공국",K405:K424)+SUMIF(AK405:AK424,"공공",K405:K424)</f>
        <v>0</v>
      </c>
      <c r="AE419" s="1138">
        <f t="shared" si="89"/>
        <v>0</v>
      </c>
      <c r="AF419" s="1139">
        <f t="shared" si="89"/>
        <v>0</v>
      </c>
      <c r="AG419" s="1138" t="s">
        <v>26</v>
      </c>
      <c r="AH419" s="1138">
        <f t="shared" si="90"/>
        <v>0</v>
      </c>
      <c r="AI419" s="1139">
        <f t="shared" si="90"/>
        <v>0</v>
      </c>
      <c r="AJ419" s="1138" t="str">
        <f t="shared" si="91"/>
        <v/>
      </c>
      <c r="AK419" s="1138" t="str">
        <f t="shared" si="92"/>
        <v/>
      </c>
    </row>
    <row r="420" spans="1:60" ht="24" hidden="1" customHeight="1" x14ac:dyDescent="0.15">
      <c r="A420" s="160">
        <v>396</v>
      </c>
      <c r="B420" s="235"/>
      <c r="C420" s="235"/>
      <c r="D420" s="235"/>
      <c r="E420" s="357"/>
      <c r="F420" s="357"/>
      <c r="G420" s="417"/>
      <c r="H420" s="504"/>
      <c r="I420" s="504"/>
      <c r="J420" s="417"/>
      <c r="K420" s="417"/>
      <c r="L420" s="374"/>
      <c r="M420" s="353"/>
      <c r="N420" s="526"/>
      <c r="O420" s="1214"/>
      <c r="P420" s="1231"/>
      <c r="Q420" s="1231"/>
      <c r="R420" s="1231"/>
      <c r="S420" s="1232"/>
      <c r="T420" s="1142" t="s">
        <v>40</v>
      </c>
      <c r="U420" s="1138">
        <f>COUNTIF(D405:D424,"장")</f>
        <v>0</v>
      </c>
      <c r="V420" s="1139">
        <f>COUNTIF(I405:I424,"장")</f>
        <v>0</v>
      </c>
      <c r="W420" s="1138" t="s">
        <v>26</v>
      </c>
      <c r="X420" s="1138">
        <f>SUMIF(D405:D424,"장",F405:F424)</f>
        <v>0</v>
      </c>
      <c r="Y420" s="1139">
        <f>SUMIF(I405:I424,"장",K405:K424)</f>
        <v>0</v>
      </c>
      <c r="Z420" s="1164">
        <f>COUNTIF(AJ405:AJ424,"장국")+COUNTIF(AJ405:AJ424,"장공")</f>
        <v>0</v>
      </c>
      <c r="AA420" s="1165">
        <f>COUNTIF(AK405:AK424,"장국")+COUNTIF(AK405:AK424,"장공")</f>
        <v>0</v>
      </c>
      <c r="AB420" s="1164" t="s">
        <v>26</v>
      </c>
      <c r="AC420" s="1164">
        <f>SUMIF(AJ405:AJ424,"장국",F405:F424)+SUMIF(AJ405:AJ424,"장공",F405:F424)</f>
        <v>0</v>
      </c>
      <c r="AD420" s="1165">
        <f>SUMIF(AK405:AK424,"장국",K405:K424)+SUMIF(AK405:AK424,"장공",K405:K424)</f>
        <v>0</v>
      </c>
      <c r="AE420" s="1138">
        <f t="shared" si="89"/>
        <v>0</v>
      </c>
      <c r="AF420" s="1139">
        <f t="shared" si="89"/>
        <v>0</v>
      </c>
      <c r="AG420" s="1138" t="s">
        <v>26</v>
      </c>
      <c r="AH420" s="1138">
        <f t="shared" si="90"/>
        <v>0</v>
      </c>
      <c r="AI420" s="1139">
        <f t="shared" si="90"/>
        <v>0</v>
      </c>
      <c r="AJ420" s="1138" t="str">
        <f t="shared" si="91"/>
        <v/>
      </c>
      <c r="AK420" s="1138" t="str">
        <f t="shared" si="92"/>
        <v/>
      </c>
    </row>
    <row r="421" spans="1:60" ht="24" hidden="1" customHeight="1" x14ac:dyDescent="0.15">
      <c r="A421" s="160">
        <v>397</v>
      </c>
      <c r="B421" s="235"/>
      <c r="C421" s="235"/>
      <c r="D421" s="235"/>
      <c r="E421" s="357"/>
      <c r="F421" s="357"/>
      <c r="G421" s="417"/>
      <c r="H421" s="504"/>
      <c r="I421" s="504"/>
      <c r="J421" s="417"/>
      <c r="K421" s="417"/>
      <c r="L421" s="374"/>
      <c r="M421" s="353"/>
      <c r="N421" s="526"/>
      <c r="O421" s="1214"/>
      <c r="P421" s="1231"/>
      <c r="Q421" s="1231"/>
      <c r="R421" s="1231"/>
      <c r="S421" s="1232"/>
      <c r="T421" s="1142" t="s">
        <v>5</v>
      </c>
      <c r="U421" s="1138">
        <f>COUNTIF(D405:D424,"목")</f>
        <v>0</v>
      </c>
      <c r="V421" s="1139">
        <f>COUNTIF(I405:I424,"목")</f>
        <v>0</v>
      </c>
      <c r="W421" s="1138" t="s">
        <v>26</v>
      </c>
      <c r="X421" s="1138">
        <f>SUMIF(D405:D424,"목",F405:F424)</f>
        <v>0</v>
      </c>
      <c r="Y421" s="1139">
        <f>SUMIF(I405:I424,"목",K405:K424)</f>
        <v>0</v>
      </c>
      <c r="Z421" s="1164">
        <f>COUNTIF(AJ405:AJ424,"목국")+COUNTIF(AJ405:AJ424,"목공")</f>
        <v>0</v>
      </c>
      <c r="AA421" s="1165">
        <f>COUNTIF(AK405:AK424,"목국")+COUNTIF(AK405:AK424,"목공")</f>
        <v>0</v>
      </c>
      <c r="AB421" s="1164" t="s">
        <v>26</v>
      </c>
      <c r="AC421" s="1164">
        <f>SUMIF(AJ405:AJ424,"목국",F405:F424)+SUMIF(AJ405:AJ424,"목공",F405:F424)</f>
        <v>0</v>
      </c>
      <c r="AD421" s="1165">
        <f>SUMIF(AK405:AK424,"목국",K405:K424)+SUMIF(AK405:AK424,"목공",K405:K424)</f>
        <v>0</v>
      </c>
      <c r="AE421" s="1138">
        <f t="shared" si="89"/>
        <v>0</v>
      </c>
      <c r="AF421" s="1139">
        <f t="shared" si="89"/>
        <v>0</v>
      </c>
      <c r="AG421" s="1138" t="s">
        <v>26</v>
      </c>
      <c r="AH421" s="1138">
        <f t="shared" si="90"/>
        <v>0</v>
      </c>
      <c r="AI421" s="1139">
        <f t="shared" si="90"/>
        <v>0</v>
      </c>
      <c r="AJ421" s="1138" t="str">
        <f t="shared" si="91"/>
        <v/>
      </c>
      <c r="AK421" s="1138" t="str">
        <f t="shared" si="92"/>
        <v/>
      </c>
    </row>
    <row r="422" spans="1:60" ht="24" hidden="1" customHeight="1" x14ac:dyDescent="0.15">
      <c r="A422" s="160"/>
      <c r="B422" s="235"/>
      <c r="C422" s="235"/>
      <c r="D422" s="235"/>
      <c r="E422" s="357"/>
      <c r="F422" s="357"/>
      <c r="G422" s="417"/>
      <c r="H422" s="504"/>
      <c r="I422" s="504"/>
      <c r="J422" s="417"/>
      <c r="K422" s="417"/>
      <c r="L422" s="374"/>
      <c r="M422" s="353"/>
      <c r="N422" s="526"/>
      <c r="O422" s="1214"/>
      <c r="P422" s="1231"/>
      <c r="Q422" s="1231"/>
      <c r="R422" s="1231"/>
      <c r="S422" s="1232"/>
      <c r="T422" s="1142"/>
      <c r="U422" s="1142"/>
      <c r="V422" s="1143"/>
      <c r="W422" s="1142"/>
      <c r="X422" s="1142"/>
      <c r="Y422" s="1143"/>
      <c r="Z422" s="1164"/>
      <c r="AA422" s="1165"/>
      <c r="AB422" s="1173"/>
      <c r="AC422" s="1164"/>
      <c r="AD422" s="1165"/>
      <c r="AE422" s="1142"/>
      <c r="AF422" s="1143"/>
      <c r="AG422" s="1142"/>
      <c r="AH422" s="1142"/>
      <c r="AI422" s="1143"/>
      <c r="AJ422" s="1138" t="str">
        <f t="shared" si="91"/>
        <v/>
      </c>
      <c r="AK422" s="1138" t="str">
        <f t="shared" si="92"/>
        <v/>
      </c>
    </row>
    <row r="423" spans="1:60" ht="24" hidden="1" customHeight="1" x14ac:dyDescent="0.15">
      <c r="A423" s="160"/>
      <c r="B423" s="235"/>
      <c r="C423" s="235"/>
      <c r="D423" s="235"/>
      <c r="E423" s="357"/>
      <c r="F423" s="357"/>
      <c r="G423" s="417"/>
      <c r="H423" s="504"/>
      <c r="I423" s="504"/>
      <c r="J423" s="417"/>
      <c r="K423" s="417"/>
      <c r="L423" s="374"/>
      <c r="M423" s="353"/>
      <c r="N423" s="526"/>
      <c r="O423" s="1214"/>
      <c r="P423" s="1231"/>
      <c r="Q423" s="1231"/>
      <c r="R423" s="1231"/>
      <c r="S423" s="1232"/>
      <c r="T423" s="1142"/>
      <c r="U423" s="1142"/>
      <c r="V423" s="1143"/>
      <c r="W423" s="1142"/>
      <c r="X423" s="1142"/>
      <c r="Y423" s="1143"/>
      <c r="Z423" s="1164"/>
      <c r="AA423" s="1165"/>
      <c r="AB423" s="1173"/>
      <c r="AC423" s="1164"/>
      <c r="AD423" s="1165"/>
      <c r="AE423" s="1142"/>
      <c r="AF423" s="1143"/>
      <c r="AG423" s="1142"/>
      <c r="AH423" s="1142"/>
      <c r="AI423" s="1143"/>
      <c r="AJ423" s="1138" t="str">
        <f t="shared" si="91"/>
        <v/>
      </c>
      <c r="AK423" s="1138" t="str">
        <f t="shared" si="92"/>
        <v/>
      </c>
    </row>
    <row r="424" spans="1:60" ht="24" hidden="1" customHeight="1" thickBot="1" x14ac:dyDescent="0.2">
      <c r="A424" s="1215" t="s">
        <v>48</v>
      </c>
      <c r="B424" s="1216"/>
      <c r="C424" s="1216"/>
      <c r="D424" s="1216"/>
      <c r="E424" s="1217"/>
      <c r="F424" s="1148">
        <f>SUM(F405:F423)</f>
        <v>0</v>
      </c>
      <c r="G424" s="1218"/>
      <c r="H424" s="1219"/>
      <c r="I424" s="1219"/>
      <c r="J424" s="1218"/>
      <c r="K424" s="1202">
        <f>SUM(K405:K423)</f>
        <v>0</v>
      </c>
      <c r="L424" s="1220"/>
      <c r="M424" s="1221"/>
      <c r="N424" s="1222"/>
      <c r="O424" s="1223"/>
      <c r="P424" s="1234"/>
      <c r="Q424" s="1234"/>
      <c r="R424" s="1234"/>
      <c r="S424" s="1235"/>
      <c r="T424" s="1144" t="s">
        <v>37</v>
      </c>
      <c r="U424" s="1144">
        <f>COUNTIF(D405:D424,"철")</f>
        <v>0</v>
      </c>
      <c r="V424" s="1145">
        <f>COUNTIF(I405:I424,"철")</f>
        <v>0</v>
      </c>
      <c r="W424" s="1144" t="s">
        <v>26</v>
      </c>
      <c r="X424" s="1144">
        <f>SUMIF(D405:D424,"철",F405:F424)</f>
        <v>0</v>
      </c>
      <c r="Y424" s="1145">
        <f>SUMIF(I405:I424,"철",K405:K424)</f>
        <v>0</v>
      </c>
      <c r="Z424" s="1164">
        <f>COUNTIF(AJ405:AJ424,"철국")+COUNTIF(AJ405:AJ424,"철공")</f>
        <v>0</v>
      </c>
      <c r="AA424" s="1165">
        <f>COUNTIF(AK405:AK424,"철국")+COUNTIF(AK405:AK424,"철공")</f>
        <v>0</v>
      </c>
      <c r="AB424" s="1174" t="s">
        <v>26</v>
      </c>
      <c r="AC424" s="1164">
        <f>SUMIF(AJ405:AJ424,"철국",F405:F424)+SUMIF(AJ405:AJ424,"철공",F405:F424)</f>
        <v>0</v>
      </c>
      <c r="AD424" s="1165">
        <f>SUMIF(AK405:AK424,"철국",K405:K424)+SUMIF(AK405:AK424,"철공",K405:K424)</f>
        <v>0</v>
      </c>
      <c r="AE424" s="1144"/>
      <c r="AF424" s="1145"/>
      <c r="AG424" s="1144"/>
      <c r="AH424" s="1144"/>
      <c r="AI424" s="1145"/>
      <c r="AJ424" s="1138" t="str">
        <f t="shared" si="91"/>
        <v/>
      </c>
      <c r="AK424" s="1138" t="str">
        <f t="shared" si="92"/>
        <v/>
      </c>
    </row>
    <row r="425" spans="1:60" ht="24" customHeight="1" thickBot="1" x14ac:dyDescent="0.2">
      <c r="A425" s="1215" t="s">
        <v>212</v>
      </c>
      <c r="B425" s="1216"/>
      <c r="C425" s="1216"/>
      <c r="D425" s="1216"/>
      <c r="E425" s="1217"/>
      <c r="F425" s="1148">
        <f>F26+F47+F68+F89+F110+F131+F152+F173+F194+F215+F236+F257+F278+F299+F320+F341+F362+F383+F404+F424</f>
        <v>57628</v>
      </c>
      <c r="G425" s="1218"/>
      <c r="H425" s="1219"/>
      <c r="I425" s="1219"/>
      <c r="J425" s="1218"/>
      <c r="K425" s="1148">
        <f>K26+K47+K68+K89+K110+K131+K152+K173+K194+K215+K236+K257+K278+K299+K320+K341+K362+K383+K404+K424</f>
        <v>56118</v>
      </c>
      <c r="L425" s="1220"/>
      <c r="M425" s="1221"/>
      <c r="N425" s="1222"/>
      <c r="O425" s="1223"/>
      <c r="P425" s="1234"/>
      <c r="Q425" s="1234"/>
      <c r="R425" s="1234"/>
      <c r="S425" s="1235"/>
      <c r="T425" s="1156" t="s">
        <v>24</v>
      </c>
      <c r="U425" s="1157">
        <f t="shared" ref="U425:AA425" si="93">SUM(U405:U424)</f>
        <v>0</v>
      </c>
      <c r="V425" s="1157">
        <f t="shared" si="93"/>
        <v>0</v>
      </c>
      <c r="W425" s="1157">
        <f t="shared" si="93"/>
        <v>0</v>
      </c>
      <c r="X425" s="1157">
        <f t="shared" si="93"/>
        <v>0</v>
      </c>
      <c r="Y425" s="1157">
        <f t="shared" si="93"/>
        <v>0</v>
      </c>
      <c r="Z425" s="1164">
        <f t="shared" si="93"/>
        <v>0</v>
      </c>
      <c r="AA425" s="1165">
        <f t="shared" si="93"/>
        <v>0</v>
      </c>
      <c r="AB425" s="1164" t="s">
        <v>26</v>
      </c>
      <c r="AC425" s="1164">
        <f>SUM(AC405:AC424)</f>
        <v>0</v>
      </c>
      <c r="AD425" s="1165">
        <f>SUM(AD405:AD424)</f>
        <v>0</v>
      </c>
      <c r="AE425" s="1157">
        <f>SUM(AE405:AE424)</f>
        <v>0</v>
      </c>
      <c r="AF425" s="1157">
        <f>SUM(AF405:AF424)</f>
        <v>0</v>
      </c>
      <c r="AG425" s="1157" t="s">
        <v>26</v>
      </c>
      <c r="AH425" s="1157">
        <f>SUM(AH405:AH424)</f>
        <v>0</v>
      </c>
      <c r="AI425" s="1157">
        <f>SUM(AI405:AI424)</f>
        <v>0</v>
      </c>
      <c r="AJ425" s="1157"/>
      <c r="AK425" s="1134"/>
      <c r="AL425" s="66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</row>
    <row r="426" spans="1:60" ht="21.95" customHeight="1" x14ac:dyDescent="0.15">
      <c r="A426" s="60"/>
    </row>
    <row r="427" spans="1:60" ht="21.95" customHeight="1" x14ac:dyDescent="0.15">
      <c r="A427" s="60"/>
    </row>
    <row r="428" spans="1:60" ht="21.95" customHeight="1" x14ac:dyDescent="0.15">
      <c r="A428" s="60"/>
    </row>
    <row r="429" spans="1:60" ht="21.95" customHeight="1" x14ac:dyDescent="0.15">
      <c r="A429" s="60"/>
      <c r="I429" s="625"/>
      <c r="J429" s="626"/>
      <c r="K429" s="627"/>
      <c r="L429" s="628"/>
      <c r="M429" s="629"/>
    </row>
    <row r="430" spans="1:60" ht="21.95" customHeight="1" x14ac:dyDescent="0.15">
      <c r="A430" s="60"/>
      <c r="I430" s="625"/>
      <c r="J430" s="626"/>
      <c r="K430" s="630"/>
      <c r="L430" s="628"/>
      <c r="M430" s="629"/>
    </row>
    <row r="431" spans="1:60" ht="21.95" customHeight="1" x14ac:dyDescent="0.15">
      <c r="A431" s="60"/>
      <c r="I431" s="625"/>
      <c r="J431" s="626"/>
      <c r="K431" s="630"/>
      <c r="L431" s="628"/>
      <c r="M431" s="629"/>
    </row>
    <row r="432" spans="1:60" ht="21.95" customHeight="1" x14ac:dyDescent="0.15">
      <c r="A432" s="60"/>
      <c r="I432" s="625"/>
      <c r="J432" s="626"/>
      <c r="K432" s="630"/>
      <c r="L432" s="628"/>
      <c r="M432" s="629"/>
    </row>
    <row r="433" spans="1:13" ht="21.95" customHeight="1" x14ac:dyDescent="0.15">
      <c r="A433" s="60"/>
      <c r="I433" s="625"/>
      <c r="J433" s="626"/>
      <c r="K433" s="630"/>
      <c r="L433" s="628"/>
      <c r="M433" s="629"/>
    </row>
    <row r="434" spans="1:13" ht="21.95" customHeight="1" x14ac:dyDescent="0.15">
      <c r="A434" s="60"/>
      <c r="I434" s="625"/>
      <c r="J434" s="626"/>
      <c r="K434" s="630"/>
      <c r="L434" s="628"/>
      <c r="M434" s="629"/>
    </row>
    <row r="435" spans="1:13" ht="21.95" customHeight="1" x14ac:dyDescent="0.15">
      <c r="A435" s="60"/>
      <c r="I435" s="625"/>
      <c r="J435" s="626"/>
      <c r="K435" s="630"/>
      <c r="L435" s="628"/>
      <c r="M435" s="629"/>
    </row>
    <row r="436" spans="1:13" ht="21.95" customHeight="1" x14ac:dyDescent="0.15">
      <c r="A436" s="60"/>
      <c r="I436" s="625"/>
      <c r="J436" s="626"/>
      <c r="K436" s="630"/>
      <c r="L436" s="628"/>
      <c r="M436" s="629"/>
    </row>
    <row r="437" spans="1:13" ht="21.95" customHeight="1" x14ac:dyDescent="0.15">
      <c r="A437" s="60"/>
      <c r="I437" s="625"/>
      <c r="J437" s="626"/>
      <c r="K437" s="630"/>
      <c r="L437" s="628"/>
      <c r="M437" s="629"/>
    </row>
    <row r="438" spans="1:13" ht="21.95" customHeight="1" x14ac:dyDescent="0.15">
      <c r="A438" s="60"/>
      <c r="I438" s="625"/>
      <c r="J438" s="626"/>
      <c r="K438" s="630"/>
      <c r="L438" s="628"/>
      <c r="M438" s="629"/>
    </row>
    <row r="439" spans="1:13" ht="21.95" customHeight="1" x14ac:dyDescent="0.15">
      <c r="A439" s="60"/>
      <c r="I439" s="625"/>
      <c r="J439" s="626"/>
      <c r="K439" s="627"/>
      <c r="L439" s="628"/>
      <c r="M439" s="629"/>
    </row>
    <row r="440" spans="1:13" ht="21.95" customHeight="1" x14ac:dyDescent="0.15">
      <c r="A440" s="60"/>
      <c r="I440" s="625"/>
      <c r="J440" s="626"/>
      <c r="K440" s="627"/>
      <c r="L440" s="628"/>
      <c r="M440" s="629"/>
    </row>
    <row r="441" spans="1:13" ht="21.95" customHeight="1" x14ac:dyDescent="0.15">
      <c r="A441" s="60"/>
      <c r="I441" s="625"/>
      <c r="J441" s="626"/>
      <c r="K441" s="627"/>
      <c r="L441" s="628"/>
      <c r="M441" s="629"/>
    </row>
    <row r="442" spans="1:13" ht="21.95" customHeight="1" x14ac:dyDescent="0.15">
      <c r="A442" s="60"/>
      <c r="I442" s="625"/>
      <c r="J442" s="626"/>
      <c r="K442" s="627"/>
      <c r="L442" s="628"/>
      <c r="M442" s="629"/>
    </row>
    <row r="443" spans="1:13" ht="21.95" customHeight="1" x14ac:dyDescent="0.15">
      <c r="A443" s="60"/>
    </row>
    <row r="444" spans="1:13" ht="21.95" customHeight="1" x14ac:dyDescent="0.15">
      <c r="A444" s="60"/>
    </row>
    <row r="445" spans="1:13" ht="21.95" customHeight="1" x14ac:dyDescent="0.15">
      <c r="A445" s="60"/>
    </row>
    <row r="446" spans="1:13" ht="21.95" customHeight="1" x14ac:dyDescent="0.15">
      <c r="A446" s="60"/>
    </row>
    <row r="447" spans="1:13" ht="21.95" customHeight="1" x14ac:dyDescent="0.15">
      <c r="A447" s="60"/>
    </row>
    <row r="448" spans="1:13" ht="21.95" customHeight="1" x14ac:dyDescent="0.15">
      <c r="A448" s="60"/>
    </row>
    <row r="449" spans="1:1" ht="21.95" customHeight="1" x14ac:dyDescent="0.15">
      <c r="A449" s="60"/>
    </row>
    <row r="450" spans="1:1" ht="21.95" customHeight="1" x14ac:dyDescent="0.15">
      <c r="A450" s="60"/>
    </row>
    <row r="451" spans="1:1" ht="21.95" customHeight="1" x14ac:dyDescent="0.15">
      <c r="A451" s="60"/>
    </row>
    <row r="452" spans="1:1" ht="21.95" customHeight="1" x14ac:dyDescent="0.15">
      <c r="A452" s="60"/>
    </row>
    <row r="453" spans="1:1" ht="21.95" customHeight="1" x14ac:dyDescent="0.15">
      <c r="A453" s="60"/>
    </row>
    <row r="454" spans="1:1" ht="21.95" customHeight="1" x14ac:dyDescent="0.15">
      <c r="A454" s="60"/>
    </row>
    <row r="455" spans="1:1" ht="21.95" customHeight="1" x14ac:dyDescent="0.15">
      <c r="A455" s="60"/>
    </row>
    <row r="456" spans="1:1" ht="21.95" customHeight="1" x14ac:dyDescent="0.15">
      <c r="A456" s="60"/>
    </row>
    <row r="457" spans="1:1" ht="21.95" customHeight="1" x14ac:dyDescent="0.15">
      <c r="A457" s="60"/>
    </row>
    <row r="458" spans="1:1" ht="21.95" customHeight="1" x14ac:dyDescent="0.15">
      <c r="A458" s="60"/>
    </row>
    <row r="459" spans="1:1" ht="21.95" customHeight="1" x14ac:dyDescent="0.15">
      <c r="A459" s="60"/>
    </row>
    <row r="460" spans="1:1" ht="21.95" customHeight="1" x14ac:dyDescent="0.15">
      <c r="A460" s="60"/>
    </row>
    <row r="461" spans="1:1" ht="21.95" customHeight="1" x14ac:dyDescent="0.15">
      <c r="A461" s="60"/>
    </row>
    <row r="462" spans="1:1" ht="21.95" customHeight="1" x14ac:dyDescent="0.15">
      <c r="A462" s="60"/>
    </row>
    <row r="463" spans="1:1" ht="21.95" customHeight="1" x14ac:dyDescent="0.15">
      <c r="A463" s="60"/>
    </row>
    <row r="464" spans="1:1" ht="21.95" customHeight="1" x14ac:dyDescent="0.15">
      <c r="A464" s="60"/>
    </row>
    <row r="465" spans="1:1" ht="21.95" customHeight="1" x14ac:dyDescent="0.15">
      <c r="A465" s="60"/>
    </row>
    <row r="466" spans="1:1" ht="21.95" customHeight="1" x14ac:dyDescent="0.15">
      <c r="A466" s="60"/>
    </row>
    <row r="467" spans="1:1" ht="21.95" customHeight="1" x14ac:dyDescent="0.15">
      <c r="A467" s="60"/>
    </row>
  </sheetData>
  <mergeCells count="15">
    <mergeCell ref="A404:E404"/>
    <mergeCell ref="A424:E424"/>
    <mergeCell ref="A425:E425"/>
    <mergeCell ref="A194:E194"/>
    <mergeCell ref="A299:E299"/>
    <mergeCell ref="A320:E320"/>
    <mergeCell ref="A341:E341"/>
    <mergeCell ref="A362:E362"/>
    <mergeCell ref="A383:E383"/>
    <mergeCell ref="S4:S5"/>
    <mergeCell ref="A4:A5"/>
    <mergeCell ref="B4:B5"/>
    <mergeCell ref="C4:F4"/>
    <mergeCell ref="G4:K4"/>
    <mergeCell ref="N4:O4"/>
  </mergeCells>
  <phoneticPr fontId="3" type="noConversion"/>
  <printOptions horizontalCentered="1"/>
  <pageMargins left="0.51181102362204722" right="0.23622047244094491" top="0.59055118110236227" bottom="7.874015748031496E-2" header="0.19685039370078741" footer="0"/>
  <pageSetup paperSize="9" scale="74" orientation="landscape" horizontalDpi="1200" verticalDpi="1200" r:id="rId1"/>
  <headerFooter alignWithMargins="0">
    <oddHeader xml:space="preserve">&amp;C
</oddHeader>
    <oddFooter xml:space="preserve">&amp;C
</oddFooter>
  </headerFooter>
  <rowBreaks count="6" manualBreakCount="6">
    <brk id="26" max="18" man="1"/>
    <brk id="47" max="18" man="1"/>
    <brk id="68" max="18" man="1"/>
    <brk id="89" max="18" man="1"/>
    <brk id="110" max="18" man="1"/>
    <brk id="13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7"/>
  <sheetViews>
    <sheetView showZeros="0" view="pageBreakPreview" topLeftCell="A4" zoomScaleNormal="100" zoomScaleSheetLayoutView="100" workbookViewId="0">
      <selection activeCell="H14" sqref="H14"/>
    </sheetView>
  </sheetViews>
  <sheetFormatPr defaultColWidth="6.109375" defaultRowHeight="21.95" customHeight="1" x14ac:dyDescent="0.15"/>
  <cols>
    <col min="1" max="1" width="4.33203125" style="61" customWidth="1"/>
    <col min="2" max="2" width="5.44140625" style="9" customWidth="1"/>
    <col min="3" max="3" width="6.77734375" style="9" customWidth="1"/>
    <col min="4" max="4" width="4.77734375" style="9" customWidth="1"/>
    <col min="5" max="5" width="6.88671875" style="16" customWidth="1"/>
    <col min="6" max="6" width="6.77734375" style="16" customWidth="1"/>
    <col min="7" max="7" width="6.33203125" style="16" hidden="1" customWidth="1"/>
    <col min="8" max="8" width="6.77734375" style="9" customWidth="1"/>
    <col min="9" max="9" width="4.77734375" style="9" customWidth="1"/>
    <col min="10" max="10" width="6.77734375" style="16" customWidth="1"/>
    <col min="11" max="11" width="6.6640625" style="17" customWidth="1"/>
    <col min="12" max="12" width="8.6640625" style="18" customWidth="1"/>
    <col min="13" max="13" width="15.77734375" style="86" customWidth="1"/>
    <col min="14" max="14" width="8.6640625" style="18" customWidth="1"/>
    <col min="15" max="15" width="20.21875" style="86" customWidth="1"/>
    <col min="16" max="16" width="8.77734375" style="9" customWidth="1"/>
    <col min="17" max="17" width="15" style="9" customWidth="1"/>
    <col min="18" max="18" width="7.33203125" style="9" customWidth="1"/>
    <col min="19" max="19" width="6.88671875" style="9" customWidth="1"/>
    <col min="20" max="21" width="6.109375" style="9" customWidth="1"/>
    <col min="22" max="22" width="6.109375" style="41" customWidth="1"/>
    <col min="23" max="23" width="1.21875" style="9" customWidth="1"/>
    <col min="24" max="24" width="6.109375" style="9" customWidth="1"/>
    <col min="25" max="25" width="6.109375" style="41" customWidth="1"/>
    <col min="26" max="26" width="5" style="9" customWidth="1"/>
    <col min="27" max="27" width="5" style="41" customWidth="1"/>
    <col min="28" max="28" width="1" style="9" customWidth="1"/>
    <col min="29" max="29" width="4.88671875" style="9" customWidth="1"/>
    <col min="30" max="30" width="4.88671875" style="41" customWidth="1"/>
    <col min="31" max="31" width="6.109375" style="9" customWidth="1"/>
    <col min="32" max="32" width="6.109375" style="41" customWidth="1"/>
    <col min="33" max="33" width="1.109375" style="9" customWidth="1"/>
    <col min="34" max="34" width="5.33203125" style="9" customWidth="1"/>
    <col min="35" max="35" width="5.33203125" style="41" customWidth="1"/>
    <col min="36" max="36" width="8.88671875" style="9" customWidth="1"/>
    <col min="37" max="37" width="8" style="9" customWidth="1"/>
    <col min="38" max="16384" width="6.109375" style="9"/>
  </cols>
  <sheetData>
    <row r="1" spans="1:39" s="74" customFormat="1" ht="38.25" customHeight="1" x14ac:dyDescent="0.15">
      <c r="A1" s="108" t="s">
        <v>80</v>
      </c>
      <c r="B1" s="109"/>
      <c r="C1" s="109"/>
      <c r="D1" s="109"/>
      <c r="E1" s="109"/>
      <c r="F1" s="109"/>
      <c r="G1" s="109"/>
      <c r="H1" s="110"/>
      <c r="I1" s="111"/>
      <c r="J1" s="109"/>
      <c r="K1" s="112"/>
      <c r="L1" s="111"/>
      <c r="M1" s="111"/>
      <c r="N1" s="111"/>
      <c r="O1" s="111"/>
      <c r="P1" s="111"/>
      <c r="Q1" s="111"/>
      <c r="R1" s="111"/>
      <c r="S1" s="111"/>
    </row>
    <row r="2" spans="1:39" s="61" customFormat="1" ht="11.1" customHeight="1" x14ac:dyDescent="0.15">
      <c r="A2" s="113"/>
      <c r="B2" s="113"/>
      <c r="C2" s="113"/>
      <c r="D2" s="113"/>
      <c r="E2" s="113"/>
      <c r="F2" s="113"/>
      <c r="G2" s="113"/>
      <c r="H2" s="114"/>
      <c r="I2" s="115"/>
      <c r="J2" s="113"/>
      <c r="K2" s="116"/>
      <c r="L2" s="117"/>
      <c r="M2" s="117"/>
      <c r="N2" s="117"/>
      <c r="O2" s="117"/>
      <c r="P2" s="117"/>
      <c r="Q2" s="117"/>
      <c r="R2" s="117"/>
      <c r="S2" s="115"/>
    </row>
    <row r="3" spans="1:39" s="57" customFormat="1" ht="24.95" customHeight="1" thickBot="1" x14ac:dyDescent="0.2">
      <c r="A3" s="59"/>
      <c r="B3" s="118"/>
      <c r="C3" s="118"/>
      <c r="D3" s="118"/>
      <c r="E3" s="118"/>
      <c r="F3" s="118"/>
      <c r="G3" s="118"/>
      <c r="H3" s="75"/>
      <c r="I3" s="76"/>
      <c r="J3" s="118"/>
      <c r="K3" s="77"/>
      <c r="L3" s="78"/>
      <c r="M3" s="119"/>
      <c r="N3" s="78"/>
      <c r="O3" s="119"/>
      <c r="P3" s="119"/>
      <c r="Q3" s="119"/>
      <c r="R3" s="119"/>
      <c r="S3" s="418" t="s">
        <v>214</v>
      </c>
      <c r="V3" s="79"/>
    </row>
    <row r="4" spans="1:39" s="57" customFormat="1" ht="21" customHeight="1" x14ac:dyDescent="0.15">
      <c r="A4" s="1100" t="s">
        <v>21</v>
      </c>
      <c r="B4" s="1102" t="s">
        <v>67</v>
      </c>
      <c r="C4" s="1104" t="s">
        <v>68</v>
      </c>
      <c r="D4" s="1105"/>
      <c r="E4" s="1105"/>
      <c r="F4" s="1105"/>
      <c r="G4" s="1114" t="s">
        <v>6</v>
      </c>
      <c r="H4" s="1114"/>
      <c r="I4" s="1114"/>
      <c r="J4" s="1114"/>
      <c r="K4" s="1114"/>
      <c r="L4" s="162" t="s">
        <v>197</v>
      </c>
      <c r="M4" s="162"/>
      <c r="N4" s="1107" t="s">
        <v>198</v>
      </c>
      <c r="O4" s="1108"/>
      <c r="P4" s="162" t="s">
        <v>69</v>
      </c>
      <c r="Q4" s="162"/>
      <c r="R4" s="162"/>
      <c r="S4" s="1098" t="s">
        <v>25</v>
      </c>
    </row>
    <row r="5" spans="1:39" s="57" customFormat="1" ht="35.1" customHeight="1" thickBot="1" x14ac:dyDescent="0.2">
      <c r="A5" s="1101"/>
      <c r="B5" s="1103"/>
      <c r="C5" s="194" t="s">
        <v>7</v>
      </c>
      <c r="D5" s="194" t="s">
        <v>8</v>
      </c>
      <c r="E5" s="194" t="s">
        <v>72</v>
      </c>
      <c r="F5" s="195" t="s">
        <v>9</v>
      </c>
      <c r="G5" s="484" t="s">
        <v>10</v>
      </c>
      <c r="H5" s="485" t="s">
        <v>7</v>
      </c>
      <c r="I5" s="486" t="s">
        <v>8</v>
      </c>
      <c r="J5" s="487" t="s">
        <v>0</v>
      </c>
      <c r="K5" s="487" t="s">
        <v>9</v>
      </c>
      <c r="L5" s="422" t="s">
        <v>74</v>
      </c>
      <c r="M5" s="422" t="s">
        <v>75</v>
      </c>
      <c r="N5" s="334" t="s">
        <v>74</v>
      </c>
      <c r="O5" s="334" t="s">
        <v>75</v>
      </c>
      <c r="P5" s="196" t="s">
        <v>76</v>
      </c>
      <c r="Q5" s="196" t="s">
        <v>77</v>
      </c>
      <c r="R5" s="196" t="s">
        <v>78</v>
      </c>
      <c r="S5" s="1099"/>
      <c r="AE5" s="58"/>
      <c r="AF5" s="58"/>
      <c r="AG5" s="58"/>
    </row>
    <row r="6" spans="1:39" s="67" customFormat="1" ht="24" customHeight="1" x14ac:dyDescent="0.15">
      <c r="A6" s="361">
        <v>1</v>
      </c>
      <c r="B6" s="318" t="s">
        <v>215</v>
      </c>
      <c r="C6" s="141">
        <v>563</v>
      </c>
      <c r="D6" s="141" t="s">
        <v>657</v>
      </c>
      <c r="E6" s="142">
        <v>10828</v>
      </c>
      <c r="F6" s="366">
        <v>6</v>
      </c>
      <c r="G6" s="488"/>
      <c r="H6" s="489">
        <v>563</v>
      </c>
      <c r="I6" s="489" t="s">
        <v>657</v>
      </c>
      <c r="J6" s="490">
        <v>10828</v>
      </c>
      <c r="K6" s="491">
        <v>6</v>
      </c>
      <c r="L6" s="144" t="s">
        <v>658</v>
      </c>
      <c r="M6" s="144" t="s">
        <v>659</v>
      </c>
      <c r="N6" s="438" t="s">
        <v>658</v>
      </c>
      <c r="O6" s="438" t="s">
        <v>659</v>
      </c>
      <c r="P6" s="362"/>
      <c r="Q6" s="362"/>
      <c r="R6" s="362"/>
      <c r="S6" s="358"/>
      <c r="T6" s="64" t="s">
        <v>27</v>
      </c>
      <c r="U6" s="64">
        <f>COUNTIF(D6:D25,"전")</f>
        <v>0</v>
      </c>
      <c r="V6" s="65">
        <f>COUNTIF(I6:I25,"전")</f>
        <v>0</v>
      </c>
      <c r="W6" s="64" t="s">
        <v>26</v>
      </c>
      <c r="X6" s="64">
        <f>SUMIF(D6:D25,"전",F6:F25)</f>
        <v>0</v>
      </c>
      <c r="Y6" s="65">
        <f>SUMIF(I6:I25,"전",K6:K25)</f>
        <v>0</v>
      </c>
      <c r="Z6" s="64">
        <f>COUNTIF(AJ6:AJ25,"전국")+COUNTIF(AJ6:AJ25,"전공")</f>
        <v>0</v>
      </c>
      <c r="AA6" s="65">
        <f>COUNTIF(AK6:AK25,"전국")+COUNTIF(AK6:AK25,"전공")</f>
        <v>0</v>
      </c>
      <c r="AB6" s="64" t="s">
        <v>26</v>
      </c>
      <c r="AC6" s="64">
        <f>SUMIF(AJ6:AJ25,"전국",F6:F25)+SUMIF(AJ6:AJ25,"전공",F6:F25)</f>
        <v>0</v>
      </c>
      <c r="AD6" s="65">
        <f>SUMIF(AK6:AK25,"전국",K6:K25)+SUMIF(AK6:AK25,"전공",K6:K25)</f>
        <v>0</v>
      </c>
      <c r="AE6" s="64">
        <f t="shared" ref="AE6:AF22" si="0">U6-Z6</f>
        <v>0</v>
      </c>
      <c r="AF6" s="65">
        <f t="shared" si="0"/>
        <v>0</v>
      </c>
      <c r="AG6" s="64" t="s">
        <v>26</v>
      </c>
      <c r="AH6" s="64">
        <f t="shared" ref="AH6:AI22" si="1">X6-AC6</f>
        <v>0</v>
      </c>
      <c r="AI6" s="65">
        <f t="shared" si="1"/>
        <v>0</v>
      </c>
      <c r="AJ6" s="64" t="str">
        <f t="shared" ref="AJ6:AJ25" si="2">CONCATENATE(D6,L6)</f>
        <v>구국</v>
      </c>
      <c r="AK6" s="64" t="str">
        <f>CONCATENATE(I6,N6)</f>
        <v>구국</v>
      </c>
      <c r="AL6" s="66"/>
      <c r="AM6" s="66"/>
    </row>
    <row r="7" spans="1:39" s="67" customFormat="1" ht="24" customHeight="1" x14ac:dyDescent="0.15">
      <c r="A7" s="160"/>
      <c r="B7" s="222"/>
      <c r="C7" s="133"/>
      <c r="D7" s="133"/>
      <c r="E7" s="134"/>
      <c r="F7" s="177"/>
      <c r="G7" s="417"/>
      <c r="H7" s="492"/>
      <c r="I7" s="492"/>
      <c r="J7" s="344"/>
      <c r="K7" s="493"/>
      <c r="L7" s="128"/>
      <c r="M7" s="467"/>
      <c r="N7" s="425"/>
      <c r="O7" s="425"/>
      <c r="P7" s="203"/>
      <c r="Q7" s="203"/>
      <c r="R7" s="203"/>
      <c r="S7" s="342"/>
      <c r="T7" s="64" t="s">
        <v>28</v>
      </c>
      <c r="U7" s="64">
        <f>COUNTIF(D6:D25,"답")</f>
        <v>0</v>
      </c>
      <c r="V7" s="65">
        <f>COUNTIF(I6:I25,"답")</f>
        <v>0</v>
      </c>
      <c r="W7" s="64" t="s">
        <v>26</v>
      </c>
      <c r="X7" s="64">
        <f>SUMIF(D6:D25,"답",F6:F25)</f>
        <v>0</v>
      </c>
      <c r="Y7" s="65">
        <f>SUMIF(I6:I25,"답",K6:K25)</f>
        <v>0</v>
      </c>
      <c r="Z7" s="64">
        <f>COUNTIF(AJ6:AJ25,"답국")+COUNTIF(AJ6:AJ25,"답공")</f>
        <v>0</v>
      </c>
      <c r="AA7" s="65">
        <f>COUNTIF(AK6:AK25,"답국")+COUNTIF(AK6:AK25,"답공")</f>
        <v>0</v>
      </c>
      <c r="AB7" s="64" t="s">
        <v>26</v>
      </c>
      <c r="AC7" s="64">
        <f>SUMIF(AJ6:AJ25,"답국",F6:F25)+SUMIF(AJ6:AJ25,"답공",F6:F25)</f>
        <v>0</v>
      </c>
      <c r="AD7" s="65">
        <f>SUMIF(AK6:AK25,"답국",K6:K25)+SUMIF(AK6:AK25,"답공",K6:K25)</f>
        <v>0</v>
      </c>
      <c r="AE7" s="64">
        <f t="shared" si="0"/>
        <v>0</v>
      </c>
      <c r="AF7" s="65">
        <f t="shared" si="0"/>
        <v>0</v>
      </c>
      <c r="AG7" s="64" t="s">
        <v>26</v>
      </c>
      <c r="AH7" s="64">
        <f t="shared" si="1"/>
        <v>0</v>
      </c>
      <c r="AI7" s="65">
        <f t="shared" si="1"/>
        <v>0</v>
      </c>
      <c r="AJ7" s="64" t="str">
        <f t="shared" si="2"/>
        <v/>
      </c>
      <c r="AK7" s="64" t="str">
        <f t="shared" ref="AK7:AK70" si="3">CONCATENATE(I7,N7)</f>
        <v/>
      </c>
      <c r="AL7" s="66"/>
      <c r="AM7" s="66"/>
    </row>
    <row r="8" spans="1:39" s="67" customFormat="1" ht="24" customHeight="1" x14ac:dyDescent="0.15">
      <c r="A8" s="160"/>
      <c r="B8" s="222"/>
      <c r="C8" s="133"/>
      <c r="D8" s="133"/>
      <c r="E8" s="134"/>
      <c r="F8" s="177"/>
      <c r="G8" s="417"/>
      <c r="H8" s="492"/>
      <c r="I8" s="492"/>
      <c r="J8" s="344"/>
      <c r="K8" s="493"/>
      <c r="L8" s="128"/>
      <c r="M8" s="128"/>
      <c r="N8" s="425"/>
      <c r="O8" s="425"/>
      <c r="P8" s="203"/>
      <c r="Q8" s="203"/>
      <c r="R8" s="203"/>
      <c r="S8" s="342"/>
      <c r="T8" s="64" t="s">
        <v>44</v>
      </c>
      <c r="U8" s="64">
        <f>COUNTIF(D6:D25,"임")</f>
        <v>0</v>
      </c>
      <c r="V8" s="65">
        <f>COUNTIF(I6:I25,"임")</f>
        <v>0</v>
      </c>
      <c r="W8" s="64" t="s">
        <v>26</v>
      </c>
      <c r="X8" s="64">
        <f>SUMIF(D6:D25,"임",F6:F25)</f>
        <v>0</v>
      </c>
      <c r="Y8" s="65">
        <f>SUMIF(I6:I25,"임",K6:K25)</f>
        <v>0</v>
      </c>
      <c r="Z8" s="64">
        <f>COUNTIF(AJ6:AJ25,"임국")+COUNTIF(AJ6:AJ25,"임공")</f>
        <v>0</v>
      </c>
      <c r="AA8" s="65">
        <f>COUNTIF(AK6:AK25,"임국")+COUNTIF(AK6:AK25,"임공")</f>
        <v>0</v>
      </c>
      <c r="AB8" s="64" t="s">
        <v>26</v>
      </c>
      <c r="AC8" s="64">
        <f>SUMIF(AJ6:AJ25,"임국",F6:F25)+SUMIF(AJ6:AJ25,"임공",F6:F25)</f>
        <v>0</v>
      </c>
      <c r="AD8" s="65">
        <f>SUMIF(AK6:AK25,"임국",K6:K25)+SUMIF(AK6:AK25,"임공",K6:K25)</f>
        <v>0</v>
      </c>
      <c r="AE8" s="64">
        <f t="shared" si="0"/>
        <v>0</v>
      </c>
      <c r="AF8" s="65">
        <f t="shared" si="0"/>
        <v>0</v>
      </c>
      <c r="AG8" s="64" t="s">
        <v>26</v>
      </c>
      <c r="AH8" s="64">
        <f t="shared" si="1"/>
        <v>0</v>
      </c>
      <c r="AI8" s="65">
        <f t="shared" si="1"/>
        <v>0</v>
      </c>
      <c r="AJ8" s="64" t="str">
        <f t="shared" si="2"/>
        <v/>
      </c>
      <c r="AK8" s="64" t="str">
        <f t="shared" si="3"/>
        <v/>
      </c>
      <c r="AL8" s="66"/>
      <c r="AM8" s="66"/>
    </row>
    <row r="9" spans="1:39" s="67" customFormat="1" ht="24" customHeight="1" x14ac:dyDescent="0.15">
      <c r="A9" s="160"/>
      <c r="B9" s="222"/>
      <c r="C9" s="133"/>
      <c r="D9" s="133"/>
      <c r="E9" s="134"/>
      <c r="F9" s="177"/>
      <c r="G9" s="417"/>
      <c r="H9" s="492"/>
      <c r="I9" s="492"/>
      <c r="J9" s="344"/>
      <c r="K9" s="493"/>
      <c r="L9" s="128"/>
      <c r="M9" s="128"/>
      <c r="N9" s="425"/>
      <c r="O9" s="425"/>
      <c r="P9" s="203"/>
      <c r="Q9" s="203"/>
      <c r="R9" s="203"/>
      <c r="S9" s="342"/>
      <c r="T9" s="64" t="s">
        <v>45</v>
      </c>
      <c r="U9" s="64">
        <f>COUNTIF(D6:D25,"대")</f>
        <v>0</v>
      </c>
      <c r="V9" s="65">
        <f>COUNTIF(I6:I25,"대")</f>
        <v>0</v>
      </c>
      <c r="W9" s="64" t="s">
        <v>26</v>
      </c>
      <c r="X9" s="64">
        <f>SUMIF(D6:D25,"대",F6:F25)</f>
        <v>0</v>
      </c>
      <c r="Y9" s="65">
        <f>SUMIF(I6:I25,"대",K6:K25)</f>
        <v>0</v>
      </c>
      <c r="Z9" s="64">
        <f>COUNTIF(AJ6:AJ25,"대국")+COUNTIF(AJ6:AJ25,"대공")</f>
        <v>0</v>
      </c>
      <c r="AA9" s="65">
        <f>COUNTIF(AK6:AK25,"대국")+COUNTIF(AK6:AK25,"대공")</f>
        <v>0</v>
      </c>
      <c r="AB9" s="64" t="s">
        <v>26</v>
      </c>
      <c r="AC9" s="64">
        <f>SUMIF(AJ6:AJ25,"대국",F6:F25)+SUMIF(AJ6:AJ25,"대공",F6:F25)</f>
        <v>0</v>
      </c>
      <c r="AD9" s="65">
        <f>SUMIF(AK6:AK25,"대국",K6:K25)+SUMIF(AK6:AK25,"대공",K6:K25)</f>
        <v>0</v>
      </c>
      <c r="AE9" s="64">
        <f t="shared" si="0"/>
        <v>0</v>
      </c>
      <c r="AF9" s="65">
        <f t="shared" si="0"/>
        <v>0</v>
      </c>
      <c r="AG9" s="64" t="s">
        <v>26</v>
      </c>
      <c r="AH9" s="64">
        <f t="shared" si="1"/>
        <v>0</v>
      </c>
      <c r="AI9" s="65">
        <f t="shared" si="1"/>
        <v>0</v>
      </c>
      <c r="AJ9" s="64" t="str">
        <f t="shared" si="2"/>
        <v/>
      </c>
      <c r="AK9" s="64" t="str">
        <f t="shared" si="3"/>
        <v/>
      </c>
      <c r="AL9" s="66"/>
      <c r="AM9" s="66"/>
    </row>
    <row r="10" spans="1:39" s="67" customFormat="1" ht="24" customHeight="1" x14ac:dyDescent="0.15">
      <c r="A10" s="160"/>
      <c r="B10" s="222"/>
      <c r="C10" s="133"/>
      <c r="D10" s="133"/>
      <c r="E10" s="134"/>
      <c r="F10" s="177"/>
      <c r="G10" s="417"/>
      <c r="H10" s="494"/>
      <c r="I10" s="492"/>
      <c r="J10" s="344"/>
      <c r="K10" s="493"/>
      <c r="L10" s="128"/>
      <c r="M10" s="128"/>
      <c r="N10" s="425"/>
      <c r="O10" s="425"/>
      <c r="P10" s="203"/>
      <c r="Q10" s="203"/>
      <c r="R10" s="203"/>
      <c r="S10" s="342"/>
      <c r="T10" s="64" t="s">
        <v>31</v>
      </c>
      <c r="U10" s="64">
        <f>COUNTIF(D6:D25,"도")</f>
        <v>0</v>
      </c>
      <c r="V10" s="65">
        <f>COUNTIF(I6:I25,"도")</f>
        <v>0</v>
      </c>
      <c r="W10" s="64" t="s">
        <v>26</v>
      </c>
      <c r="X10" s="64">
        <f>SUMIF(D6:D25,"도",F6:F25)</f>
        <v>0</v>
      </c>
      <c r="Y10" s="65">
        <f>SUMIF(I6:I25,"도",K6:K25)</f>
        <v>0</v>
      </c>
      <c r="Z10" s="64">
        <f>COUNTIF(AJ6:AJ25,"도국")+COUNTIF(AJ6:AJ25,"도공")</f>
        <v>0</v>
      </c>
      <c r="AA10" s="65">
        <f>COUNTIF(AK6:AK25,"도국")+COUNTIF(AK6:AK25,"도공")</f>
        <v>0</v>
      </c>
      <c r="AB10" s="64" t="s">
        <v>26</v>
      </c>
      <c r="AC10" s="64">
        <f>SUMIF(AJ6:AJ25,"도국",F6:F25)+SUMIF(AJ6:AJ25,"도공",F6:F25)</f>
        <v>0</v>
      </c>
      <c r="AD10" s="65">
        <f>SUMIF(AK6:AK25,"도국",K6:K25)+SUMIF(AK6:AK25,"도공",K6:K25)</f>
        <v>0</v>
      </c>
      <c r="AE10" s="64">
        <f t="shared" si="0"/>
        <v>0</v>
      </c>
      <c r="AF10" s="65">
        <f t="shared" si="0"/>
        <v>0</v>
      </c>
      <c r="AG10" s="64" t="s">
        <v>26</v>
      </c>
      <c r="AH10" s="64">
        <f t="shared" si="1"/>
        <v>0</v>
      </c>
      <c r="AI10" s="65">
        <f t="shared" si="1"/>
        <v>0</v>
      </c>
      <c r="AJ10" s="64" t="str">
        <f t="shared" si="2"/>
        <v/>
      </c>
      <c r="AK10" s="64" t="str">
        <f t="shared" si="3"/>
        <v/>
      </c>
      <c r="AL10" s="66"/>
      <c r="AM10" s="66"/>
    </row>
    <row r="11" spans="1:39" s="67" customFormat="1" ht="24" customHeight="1" x14ac:dyDescent="0.15">
      <c r="A11" s="160"/>
      <c r="B11" s="222"/>
      <c r="C11" s="133"/>
      <c r="D11" s="133"/>
      <c r="E11" s="134"/>
      <c r="F11" s="177"/>
      <c r="G11" s="417"/>
      <c r="H11" s="492"/>
      <c r="I11" s="492"/>
      <c r="J11" s="344"/>
      <c r="K11" s="493"/>
      <c r="L11" s="128"/>
      <c r="M11" s="128"/>
      <c r="N11" s="425"/>
      <c r="O11" s="425"/>
      <c r="P11" s="203"/>
      <c r="Q11" s="203"/>
      <c r="R11" s="203"/>
      <c r="S11" s="342"/>
      <c r="T11" s="64" t="s">
        <v>32</v>
      </c>
      <c r="U11" s="68">
        <f>COUNTIF(D6:D25,"천")</f>
        <v>0</v>
      </c>
      <c r="V11" s="69">
        <f>COUNTIF(I6:I25,"천")</f>
        <v>0</v>
      </c>
      <c r="W11" s="64" t="s">
        <v>26</v>
      </c>
      <c r="X11" s="64">
        <f>SUMIF(D6:D25,"천",F6:F25)</f>
        <v>0</v>
      </c>
      <c r="Y11" s="65">
        <f>SUMIF(I6:I25,"천",K6:K25)</f>
        <v>0</v>
      </c>
      <c r="Z11" s="64">
        <f>COUNTIF(AJ6:AJ25,"천국")+COUNTIF(AJ6:AJ25,"천공")</f>
        <v>0</v>
      </c>
      <c r="AA11" s="65">
        <f>COUNTIF(AK6:AK25,"천국")+COUNTIF(AK6:AK25,"천공")</f>
        <v>0</v>
      </c>
      <c r="AB11" s="64" t="s">
        <v>26</v>
      </c>
      <c r="AC11" s="64">
        <f>SUMIF(AJ6:AJ25,"천국",F6:F25)+SUMIF(AJ6:AJ25,"천공",F6:F25)</f>
        <v>0</v>
      </c>
      <c r="AD11" s="65">
        <f>SUMIF(AK6:AK25,"천국",K6:K25)+SUMIF(AK6:AK25,"천공",K6:K25)</f>
        <v>0</v>
      </c>
      <c r="AE11" s="64">
        <f t="shared" si="0"/>
        <v>0</v>
      </c>
      <c r="AF11" s="65">
        <f t="shared" si="0"/>
        <v>0</v>
      </c>
      <c r="AG11" s="64" t="s">
        <v>26</v>
      </c>
      <c r="AH11" s="64">
        <f t="shared" si="1"/>
        <v>0</v>
      </c>
      <c r="AI11" s="65">
        <f t="shared" si="1"/>
        <v>0</v>
      </c>
      <c r="AJ11" s="64" t="str">
        <f t="shared" si="2"/>
        <v/>
      </c>
      <c r="AK11" s="64" t="str">
        <f t="shared" si="3"/>
        <v/>
      </c>
      <c r="AL11" s="66"/>
      <c r="AM11" s="66"/>
    </row>
    <row r="12" spans="1:39" s="67" customFormat="1" ht="24" customHeight="1" x14ac:dyDescent="0.15">
      <c r="A12" s="160"/>
      <c r="B12" s="222"/>
      <c r="C12" s="133"/>
      <c r="D12" s="133"/>
      <c r="E12" s="134"/>
      <c r="F12" s="177"/>
      <c r="G12" s="417"/>
      <c r="H12" s="492"/>
      <c r="I12" s="492"/>
      <c r="J12" s="344"/>
      <c r="K12" s="493"/>
      <c r="L12" s="128"/>
      <c r="M12" s="128"/>
      <c r="N12" s="425"/>
      <c r="O12" s="425"/>
      <c r="P12" s="203"/>
      <c r="Q12" s="203"/>
      <c r="R12" s="203"/>
      <c r="S12" s="342"/>
      <c r="T12" s="64" t="s">
        <v>33</v>
      </c>
      <c r="U12" s="64">
        <f>COUNTIF(D6:D25,"구")</f>
        <v>1</v>
      </c>
      <c r="V12" s="65">
        <f>COUNTIF(I6:I25,"구")</f>
        <v>1</v>
      </c>
      <c r="W12" s="64" t="s">
        <v>26</v>
      </c>
      <c r="X12" s="64">
        <f>SUMIF(D6:D25,"구",F6:F25)</f>
        <v>6</v>
      </c>
      <c r="Y12" s="65">
        <f>SUMIF(I6:I25,"구",K6:K25)</f>
        <v>6</v>
      </c>
      <c r="Z12" s="64">
        <f>COUNTIF(AJ6:AJ25,"구국")+COUNTIF(AJ6:AJ25,"구공")</f>
        <v>1</v>
      </c>
      <c r="AA12" s="65">
        <f>COUNTIF(AK6:AK25,"구국")+COUNTIF(AK6:AK25,"구공")</f>
        <v>1</v>
      </c>
      <c r="AB12" s="64" t="s">
        <v>26</v>
      </c>
      <c r="AC12" s="64">
        <f>SUMIF(AJ6:AJ25,"구국",F6:F25)+SUMIF(AJ6:AJ25,"구공",F6:F25)</f>
        <v>6</v>
      </c>
      <c r="AD12" s="65">
        <f>SUMIF(AK6:AK25,"구국",K6:K25)+SUMIF(AK6:AK25,"구공",K6:K25)</f>
        <v>6</v>
      </c>
      <c r="AE12" s="64">
        <f t="shared" si="0"/>
        <v>0</v>
      </c>
      <c r="AF12" s="65">
        <f t="shared" si="0"/>
        <v>0</v>
      </c>
      <c r="AG12" s="64" t="s">
        <v>26</v>
      </c>
      <c r="AH12" s="64">
        <f t="shared" si="1"/>
        <v>0</v>
      </c>
      <c r="AI12" s="65">
        <f t="shared" si="1"/>
        <v>0</v>
      </c>
      <c r="AJ12" s="64" t="str">
        <f t="shared" si="2"/>
        <v/>
      </c>
      <c r="AK12" s="64" t="str">
        <f t="shared" si="3"/>
        <v/>
      </c>
      <c r="AL12" s="66"/>
      <c r="AM12" s="66"/>
    </row>
    <row r="13" spans="1:39" s="67" customFormat="1" ht="24" customHeight="1" x14ac:dyDescent="0.15">
      <c r="A13" s="160"/>
      <c r="B13" s="222"/>
      <c r="C13" s="133"/>
      <c r="D13" s="133"/>
      <c r="E13" s="134"/>
      <c r="F13" s="177"/>
      <c r="G13" s="417"/>
      <c r="H13" s="492"/>
      <c r="I13" s="492"/>
      <c r="J13" s="344"/>
      <c r="K13" s="493"/>
      <c r="L13" s="128"/>
      <c r="M13" s="128"/>
      <c r="N13" s="425"/>
      <c r="O13" s="425"/>
      <c r="P13" s="203"/>
      <c r="Q13" s="203"/>
      <c r="R13" s="203"/>
      <c r="S13" s="342"/>
      <c r="T13" s="64" t="s">
        <v>34</v>
      </c>
      <c r="U13" s="64">
        <f>COUNTIF(D6:D25,"제")</f>
        <v>0</v>
      </c>
      <c r="V13" s="65">
        <f>COUNTIF(I6:I25,"제")</f>
        <v>0</v>
      </c>
      <c r="W13" s="64" t="s">
        <v>26</v>
      </c>
      <c r="X13" s="64">
        <f>SUMIF(D6:D25,"제",F6:F25)</f>
        <v>0</v>
      </c>
      <c r="Y13" s="65">
        <f>SUMIF(I6:I25,"제",K6:K25)</f>
        <v>0</v>
      </c>
      <c r="Z13" s="64">
        <f>COUNTIF(AJ6:AJ25,"제국")+COUNTIF(AJ6:AJ25,"제공")</f>
        <v>0</v>
      </c>
      <c r="AA13" s="65">
        <f>COUNTIF(AK6:AK25,"제국")+COUNTIF(AK6:AK25,"제공")</f>
        <v>0</v>
      </c>
      <c r="AB13" s="64" t="s">
        <v>26</v>
      </c>
      <c r="AC13" s="64">
        <f>SUMIF(AJ6:AJ25,"제국",F6:F25)+SUMIF(AJ6:AJ25,"제공",F6:F25)</f>
        <v>0</v>
      </c>
      <c r="AD13" s="65">
        <f>SUMIF(AK6:AK25,"제국",K6:K25)+SUMIF(AK6:AK25,"제공",K6:K25)</f>
        <v>0</v>
      </c>
      <c r="AE13" s="64">
        <f t="shared" si="0"/>
        <v>0</v>
      </c>
      <c r="AF13" s="65">
        <f t="shared" si="0"/>
        <v>0</v>
      </c>
      <c r="AG13" s="64" t="s">
        <v>26</v>
      </c>
      <c r="AH13" s="64">
        <f t="shared" si="1"/>
        <v>0</v>
      </c>
      <c r="AI13" s="65">
        <f t="shared" si="1"/>
        <v>0</v>
      </c>
      <c r="AJ13" s="64" t="str">
        <f t="shared" si="2"/>
        <v/>
      </c>
      <c r="AK13" s="64" t="str">
        <f t="shared" si="3"/>
        <v/>
      </c>
      <c r="AL13" s="66"/>
      <c r="AM13" s="66"/>
    </row>
    <row r="14" spans="1:39" s="67" customFormat="1" ht="24" customHeight="1" x14ac:dyDescent="0.15">
      <c r="A14" s="160"/>
      <c r="B14" s="222"/>
      <c r="C14" s="191"/>
      <c r="D14" s="133"/>
      <c r="E14" s="192"/>
      <c r="F14" s="615"/>
      <c r="G14" s="600"/>
      <c r="H14" s="613"/>
      <c r="I14" s="613"/>
      <c r="J14" s="616"/>
      <c r="K14" s="617"/>
      <c r="L14" s="193"/>
      <c r="M14" s="193"/>
      <c r="N14" s="440"/>
      <c r="O14" s="440"/>
      <c r="P14" s="203"/>
      <c r="Q14" s="203"/>
      <c r="R14" s="203"/>
      <c r="S14" s="342"/>
      <c r="T14" s="64" t="s">
        <v>46</v>
      </c>
      <c r="U14" s="64">
        <f>COUNTIF(D6:D25,"유")</f>
        <v>0</v>
      </c>
      <c r="V14" s="65">
        <f>COUNTIF(I6:I25,"유")</f>
        <v>0</v>
      </c>
      <c r="W14" s="64" t="s">
        <v>26</v>
      </c>
      <c r="X14" s="64">
        <f>SUMIF(D6:D25,"유",F6:F25)</f>
        <v>0</v>
      </c>
      <c r="Y14" s="65">
        <f>SUMIF(I6:I25,"유",K6:K25)</f>
        <v>0</v>
      </c>
      <c r="Z14" s="64">
        <f>COUNTIF(AJ6:AJ25,"유국")+COUNTIF(AJ6:AJ25,"유공")</f>
        <v>0</v>
      </c>
      <c r="AA14" s="65">
        <f>COUNTIF(AK6:AK25,"유국")+COUNTIF(AK6:AK25,"유공")</f>
        <v>0</v>
      </c>
      <c r="AB14" s="64" t="s">
        <v>26</v>
      </c>
      <c r="AC14" s="64">
        <f>SUMIF(AJ6:AJ25,"유국",F6:F25)+SUMIF(AJ6:AJ25,"유공",F6:F25)</f>
        <v>0</v>
      </c>
      <c r="AD14" s="65">
        <f>SUMIF(AK6:AK25,"유국",K6:K25)+SUMIF(AK6:AK25,"유공",K6:K25)</f>
        <v>0</v>
      </c>
      <c r="AE14" s="64">
        <f t="shared" si="0"/>
        <v>0</v>
      </c>
      <c r="AF14" s="65">
        <f t="shared" si="0"/>
        <v>0</v>
      </c>
      <c r="AG14" s="64" t="s">
        <v>26</v>
      </c>
      <c r="AH14" s="64">
        <f t="shared" si="1"/>
        <v>0</v>
      </c>
      <c r="AI14" s="65">
        <f t="shared" si="1"/>
        <v>0</v>
      </c>
      <c r="AJ14" s="64" t="str">
        <f t="shared" si="2"/>
        <v/>
      </c>
      <c r="AK14" s="64" t="str">
        <f t="shared" si="3"/>
        <v/>
      </c>
      <c r="AL14" s="66"/>
      <c r="AM14" s="66"/>
    </row>
    <row r="15" spans="1:39" s="67" customFormat="1" ht="24" customHeight="1" x14ac:dyDescent="0.15">
      <c r="A15" s="160"/>
      <c r="B15" s="222"/>
      <c r="C15" s="133"/>
      <c r="D15" s="133"/>
      <c r="E15" s="134"/>
      <c r="F15" s="177"/>
      <c r="G15" s="417"/>
      <c r="H15" s="492"/>
      <c r="I15" s="492"/>
      <c r="J15" s="344"/>
      <c r="K15" s="493"/>
      <c r="L15" s="128"/>
      <c r="M15" s="128"/>
      <c r="N15" s="425"/>
      <c r="O15" s="425"/>
      <c r="P15" s="203"/>
      <c r="Q15" s="203"/>
      <c r="R15" s="203"/>
      <c r="S15" s="342"/>
      <c r="T15" s="64" t="s">
        <v>47</v>
      </c>
      <c r="U15" s="64">
        <f>COUNTIF(D6:D25,"과")</f>
        <v>0</v>
      </c>
      <c r="V15" s="65">
        <f>COUNTIF(I6:I25,"과")</f>
        <v>0</v>
      </c>
      <c r="W15" s="64" t="s">
        <v>26</v>
      </c>
      <c r="X15" s="64">
        <f>SUMIF(D6:D25,"과",F6:F25)</f>
        <v>0</v>
      </c>
      <c r="Y15" s="65">
        <f>SUMIF(I6:I25,"과",K6:K25)</f>
        <v>0</v>
      </c>
      <c r="Z15" s="64">
        <f>COUNTIF(AJ6:AJ25,"과국")+COUNTIF(AJ6:AJ25,"과공")</f>
        <v>0</v>
      </c>
      <c r="AA15" s="65">
        <f>COUNTIF(AK6:AK25,"과국")+COUNTIF(AK6:AK25,"과공")</f>
        <v>0</v>
      </c>
      <c r="AB15" s="64" t="s">
        <v>26</v>
      </c>
      <c r="AC15" s="64">
        <f>SUMIF(AJ6:AJ25,"과국",F6:F25)+SUMIF(AJ6:AJ25,"과공",F6:F25)</f>
        <v>0</v>
      </c>
      <c r="AD15" s="65">
        <f>SUMIF(AK6:AK25,"과국",K6:K25)+SUMIF(AK6:AK25,"과공",K6:K25)</f>
        <v>0</v>
      </c>
      <c r="AE15" s="64">
        <f t="shared" si="0"/>
        <v>0</v>
      </c>
      <c r="AF15" s="65">
        <f t="shared" si="0"/>
        <v>0</v>
      </c>
      <c r="AG15" s="64" t="s">
        <v>26</v>
      </c>
      <c r="AH15" s="64">
        <f t="shared" si="1"/>
        <v>0</v>
      </c>
      <c r="AI15" s="65">
        <f t="shared" si="1"/>
        <v>0</v>
      </c>
      <c r="AJ15" s="64" t="str">
        <f t="shared" si="2"/>
        <v/>
      </c>
      <c r="AK15" s="64" t="str">
        <f t="shared" si="3"/>
        <v/>
      </c>
      <c r="AL15" s="66"/>
      <c r="AM15" s="66"/>
    </row>
    <row r="16" spans="1:39" s="67" customFormat="1" ht="24" customHeight="1" x14ac:dyDescent="0.15">
      <c r="A16" s="160"/>
      <c r="B16" s="222"/>
      <c r="C16" s="133"/>
      <c r="D16" s="133"/>
      <c r="E16" s="134"/>
      <c r="F16" s="177"/>
      <c r="G16" s="417"/>
      <c r="H16" s="492"/>
      <c r="I16" s="492"/>
      <c r="J16" s="344"/>
      <c r="K16" s="493"/>
      <c r="L16" s="128"/>
      <c r="M16" s="128"/>
      <c r="N16" s="425"/>
      <c r="O16" s="425"/>
      <c r="P16" s="203"/>
      <c r="Q16" s="203"/>
      <c r="R16" s="203"/>
      <c r="S16" s="342"/>
      <c r="T16" s="64" t="s">
        <v>36</v>
      </c>
      <c r="U16" s="64">
        <f>COUNTIF(D6:D25,"묘")</f>
        <v>0</v>
      </c>
      <c r="V16" s="65">
        <f>COUNTIF(I6:I25,"묘")</f>
        <v>0</v>
      </c>
      <c r="W16" s="64" t="s">
        <v>26</v>
      </c>
      <c r="X16" s="64">
        <f>SUMIF(D6:D25,"묘",F6:F25)</f>
        <v>0</v>
      </c>
      <c r="Y16" s="65">
        <f>SUMIF(I6:I25,"묘",K6:K25)</f>
        <v>0</v>
      </c>
      <c r="Z16" s="64">
        <f>COUNTIF(AJ6:AJ25,"묘국")+COUNTIF(AJ6:AJ25,"묘공")</f>
        <v>0</v>
      </c>
      <c r="AA16" s="65">
        <f>COUNTIF(AK6:AK25,"묘국")+COUNTIF(AK6:AK25,"묘공")</f>
        <v>0</v>
      </c>
      <c r="AB16" s="64" t="s">
        <v>26</v>
      </c>
      <c r="AC16" s="64">
        <f>SUMIF(AJ6:AJ25,"묘국",F6:F25)+SUMIF(AJ6:AJ25,"묘공",F6:F25)</f>
        <v>0</v>
      </c>
      <c r="AD16" s="65">
        <f>SUMIF(AK6:AK25,"묘국",K6:K25)+SUMIF(AK6:AK25,"묘공",K6:K25)</f>
        <v>0</v>
      </c>
      <c r="AE16" s="64">
        <f t="shared" si="0"/>
        <v>0</v>
      </c>
      <c r="AF16" s="65">
        <f t="shared" si="0"/>
        <v>0</v>
      </c>
      <c r="AG16" s="64" t="s">
        <v>26</v>
      </c>
      <c r="AH16" s="64">
        <f t="shared" si="1"/>
        <v>0</v>
      </c>
      <c r="AI16" s="65">
        <f t="shared" si="1"/>
        <v>0</v>
      </c>
      <c r="AJ16" s="64" t="str">
        <f t="shared" si="2"/>
        <v/>
      </c>
      <c r="AK16" s="64" t="str">
        <f t="shared" si="3"/>
        <v/>
      </c>
      <c r="AL16" s="66"/>
      <c r="AM16" s="66"/>
    </row>
    <row r="17" spans="1:39" s="67" customFormat="1" ht="24" customHeight="1" x14ac:dyDescent="0.15">
      <c r="A17" s="160"/>
      <c r="B17" s="222"/>
      <c r="C17" s="133"/>
      <c r="D17" s="133"/>
      <c r="E17" s="134"/>
      <c r="F17" s="177"/>
      <c r="G17" s="417"/>
      <c r="H17" s="492"/>
      <c r="I17" s="492"/>
      <c r="J17" s="344"/>
      <c r="K17" s="493"/>
      <c r="L17" s="128"/>
      <c r="M17" s="128"/>
      <c r="N17" s="425"/>
      <c r="O17" s="425"/>
      <c r="P17" s="203"/>
      <c r="Q17" s="203"/>
      <c r="R17" s="203"/>
      <c r="S17" s="342"/>
      <c r="T17" s="64" t="s">
        <v>39</v>
      </c>
      <c r="U17" s="64">
        <f>COUNTIF(D6:D25,"수")</f>
        <v>0</v>
      </c>
      <c r="V17" s="65">
        <f>COUNTIF(I6:I25,"수")</f>
        <v>0</v>
      </c>
      <c r="W17" s="64" t="s">
        <v>26</v>
      </c>
      <c r="X17" s="64">
        <f>SUMIF(D6:D25,"수",F6:F25)</f>
        <v>0</v>
      </c>
      <c r="Y17" s="65">
        <f>SUMIF(I6:I25,"수",K6:K25)</f>
        <v>0</v>
      </c>
      <c r="Z17" s="64">
        <f>COUNTIF(AJ6:AJ25,"수국")+COUNTIF(AJ6:AJ25,"수공")</f>
        <v>0</v>
      </c>
      <c r="AA17" s="65">
        <f>COUNTIF(AK6:AK25,"수국")+COUNTIF(AK6:AK25,"수공")</f>
        <v>0</v>
      </c>
      <c r="AB17" s="64" t="s">
        <v>26</v>
      </c>
      <c r="AC17" s="64">
        <f>SUMIF(AJ6:AJ25,"수국",F6:F25)+SUMIF(AJ6:AJ25,"수공",F6:F25)</f>
        <v>0</v>
      </c>
      <c r="AD17" s="65">
        <f>SUMIF(AK6:AK25,"수국",K6:K25)+SUMIF(AK6:AK25,"수공",K6:K25)</f>
        <v>0</v>
      </c>
      <c r="AE17" s="64">
        <f t="shared" si="0"/>
        <v>0</v>
      </c>
      <c r="AF17" s="65">
        <f t="shared" si="0"/>
        <v>0</v>
      </c>
      <c r="AG17" s="64" t="s">
        <v>26</v>
      </c>
      <c r="AH17" s="64">
        <f t="shared" si="1"/>
        <v>0</v>
      </c>
      <c r="AI17" s="65">
        <f t="shared" si="1"/>
        <v>0</v>
      </c>
      <c r="AJ17" s="64" t="str">
        <f t="shared" si="2"/>
        <v/>
      </c>
      <c r="AK17" s="64" t="str">
        <f t="shared" si="3"/>
        <v/>
      </c>
      <c r="AL17" s="66"/>
      <c r="AM17" s="66"/>
    </row>
    <row r="18" spans="1:39" s="67" customFormat="1" ht="24" customHeight="1" x14ac:dyDescent="0.15">
      <c r="A18" s="349"/>
      <c r="B18" s="222"/>
      <c r="C18" s="133"/>
      <c r="D18" s="133"/>
      <c r="E18" s="134"/>
      <c r="F18" s="177"/>
      <c r="G18" s="417"/>
      <c r="H18" s="494"/>
      <c r="I18" s="492"/>
      <c r="J18" s="344"/>
      <c r="K18" s="493"/>
      <c r="L18" s="128"/>
      <c r="M18" s="128"/>
      <c r="N18" s="425"/>
      <c r="O18" s="425"/>
      <c r="P18" s="203"/>
      <c r="Q18" s="203"/>
      <c r="R18" s="203"/>
      <c r="S18" s="342"/>
      <c r="T18" s="64" t="s">
        <v>35</v>
      </c>
      <c r="U18" s="64">
        <f>COUNTIF(D6:D25,"잡")</f>
        <v>0</v>
      </c>
      <c r="V18" s="65">
        <f>COUNTIF(I6:I25,"잡")</f>
        <v>0</v>
      </c>
      <c r="W18" s="64" t="s">
        <v>26</v>
      </c>
      <c r="X18" s="64">
        <f>SUMIF(D6:D25,"잡",F6:F25)</f>
        <v>0</v>
      </c>
      <c r="Y18" s="65">
        <f>SUMIF(I6:I25,"잡",K6:K25)</f>
        <v>0</v>
      </c>
      <c r="Z18" s="64">
        <f>COUNTIF(AJ6:AJ25,"잡국")+COUNTIF(AJ6:AJ25,"잡공")</f>
        <v>0</v>
      </c>
      <c r="AA18" s="65">
        <f>COUNTIF(AK6:AK25,"잡국")+COUNTIF(AK6:AK25,"잡공")</f>
        <v>0</v>
      </c>
      <c r="AB18" s="64" t="s">
        <v>26</v>
      </c>
      <c r="AC18" s="64">
        <f>SUMIF(AJ6:AJ25,"잡국",F6:F25)+SUMIF(AJ6:AJ25,"잡공",F6:F25)</f>
        <v>0</v>
      </c>
      <c r="AD18" s="65">
        <f>SUMIF(AK6:AK25,"잡국",K6:K25)+SUMIF(AK6:AK25,"잡공",K6:K25)</f>
        <v>0</v>
      </c>
      <c r="AE18" s="64">
        <f t="shared" si="0"/>
        <v>0</v>
      </c>
      <c r="AF18" s="65">
        <f t="shared" si="0"/>
        <v>0</v>
      </c>
      <c r="AG18" s="64" t="s">
        <v>26</v>
      </c>
      <c r="AH18" s="64">
        <f t="shared" si="1"/>
        <v>0</v>
      </c>
      <c r="AI18" s="65">
        <f t="shared" si="1"/>
        <v>0</v>
      </c>
      <c r="AJ18" s="64" t="str">
        <f t="shared" si="2"/>
        <v/>
      </c>
      <c r="AK18" s="64" t="str">
        <f t="shared" si="3"/>
        <v/>
      </c>
      <c r="AL18" s="66"/>
      <c r="AM18" s="66"/>
    </row>
    <row r="19" spans="1:39" s="67" customFormat="1" ht="24" customHeight="1" x14ac:dyDescent="0.15">
      <c r="A19" s="160"/>
      <c r="B19" s="222"/>
      <c r="C19" s="133"/>
      <c r="D19" s="133"/>
      <c r="E19" s="134"/>
      <c r="F19" s="177"/>
      <c r="G19" s="417"/>
      <c r="H19" s="492"/>
      <c r="I19" s="492"/>
      <c r="J19" s="344"/>
      <c r="K19" s="493"/>
      <c r="L19" s="128"/>
      <c r="M19" s="128"/>
      <c r="N19" s="425"/>
      <c r="O19" s="425"/>
      <c r="P19" s="203"/>
      <c r="Q19" s="203"/>
      <c r="R19" s="203"/>
      <c r="S19" s="342"/>
      <c r="T19" s="64" t="s">
        <v>51</v>
      </c>
      <c r="U19" s="64">
        <f>COUNTIF(D6:D25,"체")</f>
        <v>0</v>
      </c>
      <c r="V19" s="65">
        <f>COUNTIF(I6:I25,"체")</f>
        <v>0</v>
      </c>
      <c r="W19" s="64" t="s">
        <v>26</v>
      </c>
      <c r="X19" s="64">
        <f>SUMIF(D6:D25,"체",F6:F25)</f>
        <v>0</v>
      </c>
      <c r="Y19" s="65">
        <f>SUMIF(I6:I25,"체",K6:K25)</f>
        <v>0</v>
      </c>
      <c r="Z19" s="64">
        <f>COUNTIF(AJ6:AJ25,"체국")+COUNTIF(AJ6:AJ25,"체공")</f>
        <v>0</v>
      </c>
      <c r="AA19" s="65">
        <f>COUNTIF(AK6:AK25,"체국")+COUNTIF(AK6:AK25,"체공")</f>
        <v>0</v>
      </c>
      <c r="AB19" s="64" t="s">
        <v>26</v>
      </c>
      <c r="AC19" s="64">
        <f>SUMIF(AJ6:AJ25,"체국",F6:F25)+SUMIF(AJ6:AJ25,"체공",F6:F25)</f>
        <v>0</v>
      </c>
      <c r="AD19" s="65">
        <f>SUMIF(AK6:AK25,"체국",K6:K25)+SUMIF(AK6:AK25,"체공",K6:K25)</f>
        <v>0</v>
      </c>
      <c r="AE19" s="64">
        <f t="shared" si="0"/>
        <v>0</v>
      </c>
      <c r="AF19" s="65">
        <f t="shared" si="0"/>
        <v>0</v>
      </c>
      <c r="AG19" s="64" t="s">
        <v>26</v>
      </c>
      <c r="AH19" s="64">
        <f t="shared" si="1"/>
        <v>0</v>
      </c>
      <c r="AI19" s="65">
        <f t="shared" si="1"/>
        <v>0</v>
      </c>
      <c r="AJ19" s="64" t="str">
        <f t="shared" si="2"/>
        <v/>
      </c>
      <c r="AK19" s="64" t="str">
        <f t="shared" si="3"/>
        <v/>
      </c>
      <c r="AL19" s="66"/>
      <c r="AM19" s="66"/>
    </row>
    <row r="20" spans="1:39" s="67" customFormat="1" ht="24" customHeight="1" x14ac:dyDescent="0.15">
      <c r="A20" s="160"/>
      <c r="B20" s="222"/>
      <c r="C20" s="133"/>
      <c r="D20" s="133"/>
      <c r="E20" s="134"/>
      <c r="F20" s="177"/>
      <c r="G20" s="417"/>
      <c r="H20" s="492"/>
      <c r="I20" s="492"/>
      <c r="J20" s="344"/>
      <c r="K20" s="493"/>
      <c r="L20" s="128"/>
      <c r="M20" s="128"/>
      <c r="N20" s="425"/>
      <c r="O20" s="425"/>
      <c r="P20" s="203"/>
      <c r="Q20" s="203"/>
      <c r="R20" s="203"/>
      <c r="S20" s="342"/>
      <c r="T20" s="64" t="s">
        <v>50</v>
      </c>
      <c r="U20" s="64">
        <f>COUNTIF(D6:D25,"공")</f>
        <v>0</v>
      </c>
      <c r="V20" s="65">
        <f>COUNTIF(I6:I25,"공")</f>
        <v>0</v>
      </c>
      <c r="W20" s="64" t="s">
        <v>26</v>
      </c>
      <c r="X20" s="64">
        <f>SUMIF(D6:D25,"공",F6:F25)</f>
        <v>0</v>
      </c>
      <c r="Y20" s="65">
        <f>SUMIF(I6:I25,"공",K6:K25)</f>
        <v>0</v>
      </c>
      <c r="Z20" s="64">
        <f>COUNTIF(AJ6:AJ25,"공국")+COUNTIF(AJ6:AJ25,"공공")</f>
        <v>0</v>
      </c>
      <c r="AA20" s="65">
        <f>COUNTIF(AK6:AK25,"공국")+COUNTIF(AK6:AK25,"공공")</f>
        <v>0</v>
      </c>
      <c r="AB20" s="64" t="s">
        <v>26</v>
      </c>
      <c r="AC20" s="64">
        <f>SUMIF(AJ6:AJ25,"공국",F6:F25)+SUMIF(AJ6:AJ25,"공공",F6:F25)</f>
        <v>0</v>
      </c>
      <c r="AD20" s="65">
        <f>SUMIF(AK6:AK25,"공국",K6:K25)+SUMIF(AK6:AK25,"공공",K6:K25)</f>
        <v>0</v>
      </c>
      <c r="AE20" s="64">
        <f t="shared" si="0"/>
        <v>0</v>
      </c>
      <c r="AF20" s="65">
        <f t="shared" si="0"/>
        <v>0</v>
      </c>
      <c r="AG20" s="64" t="s">
        <v>26</v>
      </c>
      <c r="AH20" s="64">
        <f t="shared" si="1"/>
        <v>0</v>
      </c>
      <c r="AI20" s="65">
        <f t="shared" si="1"/>
        <v>0</v>
      </c>
      <c r="AJ20" s="64" t="str">
        <f t="shared" si="2"/>
        <v/>
      </c>
      <c r="AK20" s="64" t="str">
        <f t="shared" si="3"/>
        <v/>
      </c>
      <c r="AL20" s="66"/>
      <c r="AM20" s="66"/>
    </row>
    <row r="21" spans="1:39" s="67" customFormat="1" ht="24" customHeight="1" x14ac:dyDescent="0.15">
      <c r="A21" s="160"/>
      <c r="B21" s="222"/>
      <c r="C21" s="133"/>
      <c r="D21" s="133"/>
      <c r="E21" s="134"/>
      <c r="F21" s="177"/>
      <c r="G21" s="417"/>
      <c r="H21" s="492"/>
      <c r="I21" s="492"/>
      <c r="J21" s="344"/>
      <c r="K21" s="493"/>
      <c r="L21" s="128"/>
      <c r="M21" s="128"/>
      <c r="N21" s="425"/>
      <c r="O21" s="425"/>
      <c r="P21" s="203"/>
      <c r="Q21" s="203"/>
      <c r="R21" s="203"/>
      <c r="S21" s="342"/>
      <c r="T21" s="70" t="s">
        <v>40</v>
      </c>
      <c r="U21" s="64">
        <f>COUNTIF(D6:D25,"장")</f>
        <v>0</v>
      </c>
      <c r="V21" s="65">
        <f>COUNTIF(I6:I25,"장")</f>
        <v>0</v>
      </c>
      <c r="W21" s="64" t="s">
        <v>26</v>
      </c>
      <c r="X21" s="64">
        <f>SUMIF(D6:D25,"장",F6:F25)</f>
        <v>0</v>
      </c>
      <c r="Y21" s="65">
        <f>SUMIF(I6:I25,"장",K6:K25)</f>
        <v>0</v>
      </c>
      <c r="Z21" s="64">
        <f>COUNTIF(AJ6:AJ25,"장국")+COUNTIF(AJ6:AJ25,"장공")</f>
        <v>0</v>
      </c>
      <c r="AA21" s="65">
        <f>COUNTIF(AK6:AK25,"장국")+COUNTIF(AK6:AK25,"장공")</f>
        <v>0</v>
      </c>
      <c r="AB21" s="64" t="s">
        <v>26</v>
      </c>
      <c r="AC21" s="64">
        <f>SUMIF(AJ6:AJ25,"장국",F6:F25)+SUMIF(AJ6:AJ25,"장공",F6:F25)</f>
        <v>0</v>
      </c>
      <c r="AD21" s="65">
        <f>SUMIF(AK6:AK25,"장국",K6:K25)+SUMIF(AK6:AK25,"장공",K6:K25)</f>
        <v>0</v>
      </c>
      <c r="AE21" s="64">
        <f t="shared" si="0"/>
        <v>0</v>
      </c>
      <c r="AF21" s="65">
        <f t="shared" si="0"/>
        <v>0</v>
      </c>
      <c r="AG21" s="64" t="s">
        <v>26</v>
      </c>
      <c r="AH21" s="64">
        <f t="shared" si="1"/>
        <v>0</v>
      </c>
      <c r="AI21" s="65">
        <f t="shared" si="1"/>
        <v>0</v>
      </c>
      <c r="AJ21" s="64" t="str">
        <f t="shared" si="2"/>
        <v/>
      </c>
      <c r="AK21" s="64" t="str">
        <f t="shared" si="3"/>
        <v/>
      </c>
      <c r="AL21" s="66"/>
      <c r="AM21" s="66"/>
    </row>
    <row r="22" spans="1:39" s="67" customFormat="1" ht="24" customHeight="1" x14ac:dyDescent="0.15">
      <c r="A22" s="160"/>
      <c r="B22" s="222"/>
      <c r="C22" s="133"/>
      <c r="D22" s="133"/>
      <c r="E22" s="134"/>
      <c r="F22" s="177"/>
      <c r="G22" s="417"/>
      <c r="H22" s="492"/>
      <c r="I22" s="492"/>
      <c r="J22" s="344"/>
      <c r="K22" s="493"/>
      <c r="L22" s="128"/>
      <c r="M22" s="128"/>
      <c r="N22" s="425"/>
      <c r="O22" s="425"/>
      <c r="P22" s="203"/>
      <c r="Q22" s="203"/>
      <c r="R22" s="203"/>
      <c r="S22" s="342"/>
      <c r="T22" s="70" t="s">
        <v>5</v>
      </c>
      <c r="U22" s="64">
        <f>COUNTIF(D6:D25,"목")</f>
        <v>0</v>
      </c>
      <c r="V22" s="65">
        <f>COUNTIF(I6:I25,"목")</f>
        <v>0</v>
      </c>
      <c r="W22" s="64" t="s">
        <v>26</v>
      </c>
      <c r="X22" s="64">
        <f>SUMIF(D6:D25,"목",F6:F25)</f>
        <v>0</v>
      </c>
      <c r="Y22" s="65">
        <f>SUMIF(I6:I25,"목",K6:K25)</f>
        <v>0</v>
      </c>
      <c r="Z22" s="64">
        <f>COUNTIF(AJ6:AJ25,"목국")+COUNTIF(AJ6:AJ25,"목공")</f>
        <v>0</v>
      </c>
      <c r="AA22" s="65">
        <f>COUNTIF(AK6:AK25,"목국")+COUNTIF(AK6:AK25,"목공")</f>
        <v>0</v>
      </c>
      <c r="AB22" s="64" t="s">
        <v>26</v>
      </c>
      <c r="AC22" s="64">
        <f>SUMIF(AJ6:AJ25,"목국",F6:F25)+SUMIF(AJ6:AJ25,"목공",F6:F25)</f>
        <v>0</v>
      </c>
      <c r="AD22" s="65">
        <f>SUMIF(AK6:AK25,"목국",K6:K25)+SUMIF(AK6:AK25,"목공",K6:K25)</f>
        <v>0</v>
      </c>
      <c r="AE22" s="64">
        <f t="shared" si="0"/>
        <v>0</v>
      </c>
      <c r="AF22" s="65">
        <f t="shared" si="0"/>
        <v>0</v>
      </c>
      <c r="AG22" s="64" t="s">
        <v>26</v>
      </c>
      <c r="AH22" s="64">
        <f t="shared" si="1"/>
        <v>0</v>
      </c>
      <c r="AI22" s="65">
        <f t="shared" si="1"/>
        <v>0</v>
      </c>
      <c r="AJ22" s="64" t="str">
        <f t="shared" si="2"/>
        <v/>
      </c>
      <c r="AK22" s="64" t="str">
        <f t="shared" si="3"/>
        <v/>
      </c>
      <c r="AL22" s="66"/>
      <c r="AM22" s="66"/>
    </row>
    <row r="23" spans="1:39" s="67" customFormat="1" ht="24" customHeight="1" x14ac:dyDescent="0.15">
      <c r="A23" s="160"/>
      <c r="B23" s="222"/>
      <c r="C23" s="133"/>
      <c r="D23" s="133"/>
      <c r="E23" s="134"/>
      <c r="F23" s="177"/>
      <c r="G23" s="417"/>
      <c r="H23" s="492"/>
      <c r="I23" s="492"/>
      <c r="J23" s="344"/>
      <c r="K23" s="493"/>
      <c r="L23" s="128"/>
      <c r="M23" s="128"/>
      <c r="N23" s="425"/>
      <c r="O23" s="425"/>
      <c r="P23" s="203"/>
      <c r="Q23" s="203"/>
      <c r="R23" s="203"/>
      <c r="S23" s="342"/>
      <c r="T23" s="70"/>
      <c r="U23" s="70"/>
      <c r="V23" s="71"/>
      <c r="W23" s="70"/>
      <c r="X23" s="70"/>
      <c r="Y23" s="71"/>
      <c r="Z23" s="64"/>
      <c r="AA23" s="65"/>
      <c r="AB23" s="70"/>
      <c r="AC23" s="64"/>
      <c r="AD23" s="65"/>
      <c r="AE23" s="70"/>
      <c r="AF23" s="71"/>
      <c r="AG23" s="70"/>
      <c r="AH23" s="70"/>
      <c r="AI23" s="71"/>
      <c r="AJ23" s="64" t="str">
        <f t="shared" si="2"/>
        <v/>
      </c>
      <c r="AK23" s="64" t="str">
        <f t="shared" si="3"/>
        <v/>
      </c>
      <c r="AL23" s="66"/>
      <c r="AM23" s="66"/>
    </row>
    <row r="24" spans="1:39" s="67" customFormat="1" ht="24" customHeight="1" x14ac:dyDescent="0.15">
      <c r="A24" s="349"/>
      <c r="B24" s="222"/>
      <c r="C24" s="133"/>
      <c r="D24" s="133"/>
      <c r="E24" s="134"/>
      <c r="F24" s="177"/>
      <c r="G24" s="417"/>
      <c r="H24" s="492"/>
      <c r="I24" s="492"/>
      <c r="J24" s="344"/>
      <c r="K24" s="493"/>
      <c r="L24" s="128"/>
      <c r="M24" s="128"/>
      <c r="N24" s="425"/>
      <c r="O24" s="425"/>
      <c r="P24" s="365"/>
      <c r="Q24" s="203"/>
      <c r="R24" s="203"/>
      <c r="S24" s="342"/>
      <c r="T24" s="70"/>
      <c r="U24" s="70"/>
      <c r="V24" s="71"/>
      <c r="W24" s="70"/>
      <c r="X24" s="70"/>
      <c r="Y24" s="71"/>
      <c r="Z24" s="64"/>
      <c r="AA24" s="65"/>
      <c r="AB24" s="70"/>
      <c r="AC24" s="64"/>
      <c r="AD24" s="65"/>
      <c r="AE24" s="70"/>
      <c r="AF24" s="71"/>
      <c r="AG24" s="70"/>
      <c r="AH24" s="70"/>
      <c r="AI24" s="71"/>
      <c r="AJ24" s="64" t="str">
        <f t="shared" si="2"/>
        <v/>
      </c>
      <c r="AK24" s="64" t="str">
        <f t="shared" si="3"/>
        <v/>
      </c>
      <c r="AL24" s="66"/>
      <c r="AM24" s="66"/>
    </row>
    <row r="25" spans="1:39" s="67" customFormat="1" ht="24" customHeight="1" x14ac:dyDescent="0.15">
      <c r="A25" s="160"/>
      <c r="B25" s="222"/>
      <c r="C25" s="133"/>
      <c r="D25" s="133"/>
      <c r="E25" s="134"/>
      <c r="F25" s="177"/>
      <c r="G25" s="417"/>
      <c r="H25" s="492"/>
      <c r="I25" s="492"/>
      <c r="J25" s="344"/>
      <c r="K25" s="493"/>
      <c r="L25" s="128"/>
      <c r="M25" s="128"/>
      <c r="N25" s="425"/>
      <c r="O25" s="425"/>
      <c r="P25" s="203"/>
      <c r="Q25" s="203"/>
      <c r="R25" s="203"/>
      <c r="S25" s="342"/>
      <c r="T25" s="72" t="s">
        <v>37</v>
      </c>
      <c r="U25" s="72">
        <f>COUNTIF(D6:D25,"철")</f>
        <v>0</v>
      </c>
      <c r="V25" s="73">
        <f>COUNTIF(I6:I25,"철")</f>
        <v>0</v>
      </c>
      <c r="W25" s="72" t="s">
        <v>26</v>
      </c>
      <c r="X25" s="72">
        <f>SUMIF(D6:D25,"철",F6:F25)</f>
        <v>0</v>
      </c>
      <c r="Y25" s="73">
        <f>SUMIF(I6:I25,"철",K6:K25)</f>
        <v>0</v>
      </c>
      <c r="Z25" s="64">
        <f>COUNTIF(AJ6:AJ25,"철국")+COUNTIF(AJ6:AJ25,"철공")</f>
        <v>0</v>
      </c>
      <c r="AA25" s="65">
        <f>COUNTIF(AK6:AK25,"철국")+COUNTIF(AK6:AK25,"철공")</f>
        <v>0</v>
      </c>
      <c r="AB25" s="72" t="s">
        <v>26</v>
      </c>
      <c r="AC25" s="64">
        <f>SUMIF(AJ6:AJ25,"철국",F6:F25)+SUMIF(AJ6:AJ25,"철공",F6:F25)</f>
        <v>0</v>
      </c>
      <c r="AD25" s="65">
        <f>SUMIF(AK6:AK25,"철국",K6:K25)+SUMIF(AK6:AK25,"철공",K6:K25)</f>
        <v>0</v>
      </c>
      <c r="AE25" s="72"/>
      <c r="AF25" s="73"/>
      <c r="AG25" s="72"/>
      <c r="AH25" s="72"/>
      <c r="AI25" s="73"/>
      <c r="AJ25" s="64" t="str">
        <f t="shared" si="2"/>
        <v/>
      </c>
      <c r="AK25" s="64" t="str">
        <f t="shared" si="3"/>
        <v/>
      </c>
      <c r="AL25" s="66"/>
      <c r="AM25" s="66"/>
    </row>
    <row r="26" spans="1:39" s="57" customFormat="1" ht="24" customHeight="1" thickBot="1" x14ac:dyDescent="0.2">
      <c r="A26" s="147" t="s">
        <v>48</v>
      </c>
      <c r="B26" s="148"/>
      <c r="C26" s="148"/>
      <c r="D26" s="148"/>
      <c r="E26" s="148"/>
      <c r="F26" s="149">
        <f>SUM(F6:F25)</f>
        <v>6</v>
      </c>
      <c r="G26" s="496"/>
      <c r="H26" s="496"/>
      <c r="I26" s="497"/>
      <c r="J26" s="515"/>
      <c r="K26" s="529">
        <f>SUM(K6:K25)</f>
        <v>6</v>
      </c>
      <c r="L26" s="150"/>
      <c r="M26" s="150"/>
      <c r="N26" s="432"/>
      <c r="O26" s="432"/>
      <c r="P26" s="150"/>
      <c r="Q26" s="150"/>
      <c r="R26" s="150"/>
      <c r="S26" s="151"/>
      <c r="T26" s="62" t="s">
        <v>24</v>
      </c>
      <c r="U26" s="63">
        <f t="shared" ref="U26:AA26" si="4">SUM(U6:U25)</f>
        <v>1</v>
      </c>
      <c r="V26" s="63">
        <f t="shared" si="4"/>
        <v>1</v>
      </c>
      <c r="W26" s="63">
        <f t="shared" si="4"/>
        <v>0</v>
      </c>
      <c r="X26" s="63">
        <f t="shared" si="4"/>
        <v>6</v>
      </c>
      <c r="Y26" s="63">
        <f t="shared" si="4"/>
        <v>6</v>
      </c>
      <c r="Z26" s="63">
        <f t="shared" si="4"/>
        <v>1</v>
      </c>
      <c r="AA26" s="63">
        <f t="shared" si="4"/>
        <v>1</v>
      </c>
      <c r="AB26" s="63" t="s">
        <v>26</v>
      </c>
      <c r="AC26" s="63">
        <f>SUM(AC6:AC25)</f>
        <v>6</v>
      </c>
      <c r="AD26" s="63">
        <f>SUM(AD6:AD25)</f>
        <v>6</v>
      </c>
      <c r="AE26" s="63">
        <f>SUM(AE6:AE25)</f>
        <v>0</v>
      </c>
      <c r="AF26" s="63">
        <f>SUM(AF6:AF25)</f>
        <v>0</v>
      </c>
      <c r="AG26" s="63" t="s">
        <v>26</v>
      </c>
      <c r="AH26" s="63">
        <f>SUM(AH6:AH25)</f>
        <v>0</v>
      </c>
      <c r="AI26" s="63">
        <f>SUM(AI6:AI25)</f>
        <v>0</v>
      </c>
      <c r="AJ26" s="63"/>
      <c r="AK26" s="64" t="str">
        <f t="shared" si="3"/>
        <v/>
      </c>
    </row>
    <row r="27" spans="1:39" s="67" customFormat="1" ht="24" hidden="1" customHeight="1" thickBot="1" x14ac:dyDescent="0.2">
      <c r="A27" s="159">
        <v>21</v>
      </c>
      <c r="B27" s="318"/>
      <c r="C27" s="141"/>
      <c r="D27" s="141"/>
      <c r="E27" s="142"/>
      <c r="F27" s="366"/>
      <c r="G27" s="488"/>
      <c r="H27" s="623"/>
      <c r="I27" s="489"/>
      <c r="J27" s="490"/>
      <c r="K27" s="491"/>
      <c r="L27" s="144"/>
      <c r="M27" s="144"/>
      <c r="N27" s="438"/>
      <c r="O27" s="438"/>
      <c r="P27" s="362"/>
      <c r="Q27" s="362"/>
      <c r="R27" s="362"/>
      <c r="S27" s="358"/>
      <c r="T27" s="64" t="s">
        <v>27</v>
      </c>
      <c r="U27" s="64">
        <f>COUNTIF(D27:D46,"전")</f>
        <v>0</v>
      </c>
      <c r="V27" s="65">
        <f>COUNTIF(I27:I46,"전")</f>
        <v>0</v>
      </c>
      <c r="W27" s="64" t="s">
        <v>26</v>
      </c>
      <c r="X27" s="64">
        <f>SUMIF(D27:D46,"전",F27:F46)</f>
        <v>0</v>
      </c>
      <c r="Y27" s="65">
        <f>SUMIF(I27:I46,"전",K27:K46)</f>
        <v>0</v>
      </c>
      <c r="Z27" s="64">
        <f>COUNTIF(AJ27:AJ46,"전국")+COUNTIF(AJ27:AJ46,"전공")</f>
        <v>0</v>
      </c>
      <c r="AA27" s="65">
        <f>COUNTIF(AK27:AK46,"전국")+COUNTIF(AK27:AK46,"전공")</f>
        <v>0</v>
      </c>
      <c r="AB27" s="64" t="s">
        <v>26</v>
      </c>
      <c r="AC27" s="64">
        <f>SUMIF(AJ27:AJ46,"전국",F27:F46)+SUMIF(AJ27:AJ46,"전공",F27:F46)</f>
        <v>0</v>
      </c>
      <c r="AD27" s="65">
        <f>SUMIF(AK27:AK46,"전국",K27:K46)+SUMIF(AK27:AK46,"전공",K27:K46)</f>
        <v>0</v>
      </c>
      <c r="AE27" s="64">
        <f t="shared" ref="AE27:AF43" si="5">U27-Z27</f>
        <v>0</v>
      </c>
      <c r="AF27" s="65">
        <f t="shared" si="5"/>
        <v>0</v>
      </c>
      <c r="AG27" s="64" t="s">
        <v>26</v>
      </c>
      <c r="AH27" s="64">
        <f t="shared" ref="AH27:AI43" si="6">X27-AC27</f>
        <v>0</v>
      </c>
      <c r="AI27" s="65">
        <f t="shared" si="6"/>
        <v>0</v>
      </c>
      <c r="AJ27" s="64" t="str">
        <f t="shared" ref="AJ27:AJ46" si="7">CONCATENATE(D27,L27)</f>
        <v/>
      </c>
      <c r="AK27" s="64" t="str">
        <f t="shared" si="3"/>
        <v/>
      </c>
    </row>
    <row r="28" spans="1:39" s="67" customFormat="1" ht="24" hidden="1" customHeight="1" thickBot="1" x14ac:dyDescent="0.2">
      <c r="A28" s="160">
        <v>22</v>
      </c>
      <c r="B28" s="222"/>
      <c r="C28" s="133"/>
      <c r="D28" s="141"/>
      <c r="E28" s="134"/>
      <c r="F28" s="177"/>
      <c r="G28" s="417"/>
      <c r="H28" s="492"/>
      <c r="I28" s="492"/>
      <c r="J28" s="344"/>
      <c r="K28" s="493"/>
      <c r="L28" s="128"/>
      <c r="M28" s="128"/>
      <c r="N28" s="425"/>
      <c r="O28" s="425"/>
      <c r="P28" s="370"/>
      <c r="Q28" s="370"/>
      <c r="R28" s="370"/>
      <c r="S28" s="345"/>
      <c r="T28" s="64" t="s">
        <v>28</v>
      </c>
      <c r="U28" s="64">
        <f>COUNTIF(D27:D46,"답")</f>
        <v>0</v>
      </c>
      <c r="V28" s="65">
        <f>COUNTIF(I27:I46,"답")</f>
        <v>0</v>
      </c>
      <c r="W28" s="64" t="s">
        <v>26</v>
      </c>
      <c r="X28" s="64">
        <f>SUMIF(D27:D46,"답",F27:F46)</f>
        <v>0</v>
      </c>
      <c r="Y28" s="65">
        <f>SUMIF(I27:I46,"답",K27:K46)</f>
        <v>0</v>
      </c>
      <c r="Z28" s="64">
        <f>COUNTIF(AJ27:AJ46,"답국")+COUNTIF(AJ27:AJ46,"답공")</f>
        <v>0</v>
      </c>
      <c r="AA28" s="65">
        <f>COUNTIF(AK27:AK46,"답국")+COUNTIF(AK27:AK46,"답공")</f>
        <v>0</v>
      </c>
      <c r="AB28" s="64" t="s">
        <v>26</v>
      </c>
      <c r="AC28" s="64">
        <f>SUMIF(AJ27:AJ46,"답국",F27:F46)+SUMIF(AJ27:AJ46,"답공",F27:F46)</f>
        <v>0</v>
      </c>
      <c r="AD28" s="65">
        <f>SUMIF(AK27:AK46,"답국",K27:K46)+SUMIF(AK27:AK46,"답공",K27:K46)</f>
        <v>0</v>
      </c>
      <c r="AE28" s="64">
        <f t="shared" si="5"/>
        <v>0</v>
      </c>
      <c r="AF28" s="65">
        <f t="shared" si="5"/>
        <v>0</v>
      </c>
      <c r="AG28" s="64" t="s">
        <v>26</v>
      </c>
      <c r="AH28" s="64">
        <f t="shared" si="6"/>
        <v>0</v>
      </c>
      <c r="AI28" s="65">
        <f t="shared" si="6"/>
        <v>0</v>
      </c>
      <c r="AJ28" s="64" t="str">
        <f t="shared" si="7"/>
        <v/>
      </c>
      <c r="AK28" s="64" t="str">
        <f t="shared" si="3"/>
        <v/>
      </c>
    </row>
    <row r="29" spans="1:39" s="67" customFormat="1" ht="24" hidden="1" customHeight="1" x14ac:dyDescent="0.15">
      <c r="A29" s="160">
        <v>23</v>
      </c>
      <c r="B29" s="222"/>
      <c r="C29" s="133"/>
      <c r="D29" s="141"/>
      <c r="E29" s="134"/>
      <c r="F29" s="177"/>
      <c r="G29" s="417"/>
      <c r="H29" s="492"/>
      <c r="I29" s="492"/>
      <c r="J29" s="344"/>
      <c r="K29" s="493"/>
      <c r="L29" s="128"/>
      <c r="M29" s="128"/>
      <c r="N29" s="425"/>
      <c r="O29" s="425"/>
      <c r="P29" s="370"/>
      <c r="Q29" s="370"/>
      <c r="R29" s="203"/>
      <c r="S29" s="345"/>
      <c r="T29" s="64" t="s">
        <v>44</v>
      </c>
      <c r="U29" s="64">
        <f>COUNTIF(D27:D46,"임")</f>
        <v>0</v>
      </c>
      <c r="V29" s="65">
        <f>COUNTIF(I27:I46,"임")</f>
        <v>0</v>
      </c>
      <c r="W29" s="64" t="s">
        <v>26</v>
      </c>
      <c r="X29" s="64">
        <f>SUMIF(D27:D46,"임",F27:F46)</f>
        <v>0</v>
      </c>
      <c r="Y29" s="65">
        <f>SUMIF(I27:I46,"임",K27:K46)</f>
        <v>0</v>
      </c>
      <c r="Z29" s="64">
        <f>COUNTIF(AJ27:AJ46,"임국")+COUNTIF(AJ27:AJ46,"임공")</f>
        <v>0</v>
      </c>
      <c r="AA29" s="65">
        <f>COUNTIF(AK27:AK46,"임국")+COUNTIF(AK27:AK46,"임공")</f>
        <v>0</v>
      </c>
      <c r="AB29" s="64" t="s">
        <v>26</v>
      </c>
      <c r="AC29" s="64">
        <f>SUMIF(AJ27:AJ46,"임국",F27:F46)+SUMIF(AJ27:AJ46,"임공",F27:F46)</f>
        <v>0</v>
      </c>
      <c r="AD29" s="65">
        <f>SUMIF(AK27:AK46,"임국",K27:K46)+SUMIF(AK27:AK46,"임공",K27:K46)</f>
        <v>0</v>
      </c>
      <c r="AE29" s="64">
        <f t="shared" si="5"/>
        <v>0</v>
      </c>
      <c r="AF29" s="65">
        <f t="shared" si="5"/>
        <v>0</v>
      </c>
      <c r="AG29" s="64" t="s">
        <v>26</v>
      </c>
      <c r="AH29" s="64">
        <f t="shared" si="6"/>
        <v>0</v>
      </c>
      <c r="AI29" s="65">
        <f t="shared" si="6"/>
        <v>0</v>
      </c>
      <c r="AJ29" s="64" t="str">
        <f t="shared" si="7"/>
        <v/>
      </c>
      <c r="AK29" s="64" t="str">
        <f t="shared" si="3"/>
        <v/>
      </c>
      <c r="AL29" s="66"/>
      <c r="AM29" s="66"/>
    </row>
    <row r="30" spans="1:39" s="67" customFormat="1" ht="24" hidden="1" customHeight="1" x14ac:dyDescent="0.15">
      <c r="A30" s="160">
        <v>24</v>
      </c>
      <c r="B30" s="222"/>
      <c r="C30" s="133"/>
      <c r="D30" s="133"/>
      <c r="E30" s="134"/>
      <c r="F30" s="177"/>
      <c r="G30" s="417"/>
      <c r="H30" s="492"/>
      <c r="I30" s="492"/>
      <c r="J30" s="344"/>
      <c r="K30" s="493"/>
      <c r="L30" s="128"/>
      <c r="M30" s="128"/>
      <c r="N30" s="425"/>
      <c r="O30" s="425"/>
      <c r="P30" s="370"/>
      <c r="Q30" s="370"/>
      <c r="R30" s="203"/>
      <c r="S30" s="345"/>
      <c r="T30" s="64" t="s">
        <v>45</v>
      </c>
      <c r="U30" s="64">
        <f>COUNTIF(D27:D46,"대")</f>
        <v>0</v>
      </c>
      <c r="V30" s="65">
        <f>COUNTIF(I27:I46,"대")</f>
        <v>0</v>
      </c>
      <c r="W30" s="64" t="s">
        <v>26</v>
      </c>
      <c r="X30" s="64">
        <f>SUMIF(D27:D46,"대",F27:F46)</f>
        <v>0</v>
      </c>
      <c r="Y30" s="65">
        <f>SUMIF(I27:I46,"대",K27:K46)</f>
        <v>0</v>
      </c>
      <c r="Z30" s="64">
        <f>COUNTIF(AJ27:AJ46,"대국")+COUNTIF(AJ27:AJ46,"대공")</f>
        <v>0</v>
      </c>
      <c r="AA30" s="65">
        <f>COUNTIF(AK27:AK46,"대국")+COUNTIF(AK27:AK46,"대공")</f>
        <v>0</v>
      </c>
      <c r="AB30" s="64" t="s">
        <v>26</v>
      </c>
      <c r="AC30" s="64">
        <f>SUMIF(AJ27:AJ46,"대국",F27:F46)+SUMIF(AJ27:AJ46,"대공",F27:F46)</f>
        <v>0</v>
      </c>
      <c r="AD30" s="65">
        <f>SUMIF(AK27:AK46,"대국",K27:K46)+SUMIF(AK27:AK46,"대공",K27:K46)</f>
        <v>0</v>
      </c>
      <c r="AE30" s="64">
        <f t="shared" si="5"/>
        <v>0</v>
      </c>
      <c r="AF30" s="65">
        <f t="shared" si="5"/>
        <v>0</v>
      </c>
      <c r="AG30" s="64" t="s">
        <v>26</v>
      </c>
      <c r="AH30" s="64">
        <f t="shared" si="6"/>
        <v>0</v>
      </c>
      <c r="AI30" s="65">
        <f t="shared" si="6"/>
        <v>0</v>
      </c>
      <c r="AJ30" s="64" t="str">
        <f t="shared" si="7"/>
        <v/>
      </c>
      <c r="AK30" s="64" t="str">
        <f t="shared" si="3"/>
        <v/>
      </c>
      <c r="AL30" s="66"/>
      <c r="AM30" s="66"/>
    </row>
    <row r="31" spans="1:39" s="67" customFormat="1" ht="24" hidden="1" customHeight="1" x14ac:dyDescent="0.15">
      <c r="A31" s="160">
        <v>25</v>
      </c>
      <c r="B31" s="222"/>
      <c r="C31" s="133"/>
      <c r="D31" s="133"/>
      <c r="E31" s="134"/>
      <c r="F31" s="177"/>
      <c r="G31" s="417"/>
      <c r="H31" s="492"/>
      <c r="I31" s="492"/>
      <c r="J31" s="344"/>
      <c r="K31" s="493"/>
      <c r="L31" s="128"/>
      <c r="M31" s="128"/>
      <c r="N31" s="425"/>
      <c r="O31" s="425"/>
      <c r="P31" s="203"/>
      <c r="Q31" s="203"/>
      <c r="R31" s="203"/>
      <c r="S31" s="345"/>
      <c r="T31" s="64" t="s">
        <v>31</v>
      </c>
      <c r="U31" s="64">
        <f>COUNTIF(D27:D46,"도")</f>
        <v>0</v>
      </c>
      <c r="V31" s="65">
        <f>COUNTIF(I27:I46,"도")</f>
        <v>0</v>
      </c>
      <c r="W31" s="64" t="s">
        <v>26</v>
      </c>
      <c r="X31" s="64">
        <f>SUMIF(D27:D46,"도",F27:F46)</f>
        <v>0</v>
      </c>
      <c r="Y31" s="65">
        <f>SUMIF(I27:I46,"도",K27:K46)</f>
        <v>0</v>
      </c>
      <c r="Z31" s="64">
        <f>COUNTIF(AJ27:AJ46,"도국")+COUNTIF(AJ27:AJ46,"도공")</f>
        <v>0</v>
      </c>
      <c r="AA31" s="65">
        <f>COUNTIF(AK27:AK46,"도국")+COUNTIF(AK27:AK46,"도공")</f>
        <v>0</v>
      </c>
      <c r="AB31" s="64" t="s">
        <v>26</v>
      </c>
      <c r="AC31" s="64">
        <f>SUMIF(AJ27:AJ46,"도국",F27:F46)+SUMIF(AJ27:AJ46,"도공",F27:F46)</f>
        <v>0</v>
      </c>
      <c r="AD31" s="65">
        <f>SUMIF(AK27:AK46,"도국",K27:K46)+SUMIF(AK27:AK46,"도공",K27:K46)</f>
        <v>0</v>
      </c>
      <c r="AE31" s="64">
        <f t="shared" si="5"/>
        <v>0</v>
      </c>
      <c r="AF31" s="65">
        <f t="shared" si="5"/>
        <v>0</v>
      </c>
      <c r="AG31" s="64" t="s">
        <v>26</v>
      </c>
      <c r="AH31" s="64">
        <f t="shared" si="6"/>
        <v>0</v>
      </c>
      <c r="AI31" s="65">
        <f t="shared" si="6"/>
        <v>0</v>
      </c>
      <c r="AJ31" s="64" t="str">
        <f t="shared" si="7"/>
        <v/>
      </c>
      <c r="AK31" s="64" t="str">
        <f t="shared" si="3"/>
        <v/>
      </c>
      <c r="AL31" s="66"/>
      <c r="AM31" s="66"/>
    </row>
    <row r="32" spans="1:39" s="67" customFormat="1" ht="24" hidden="1" customHeight="1" x14ac:dyDescent="0.15">
      <c r="A32" s="160">
        <v>26</v>
      </c>
      <c r="B32" s="222"/>
      <c r="C32" s="133"/>
      <c r="D32" s="133"/>
      <c r="E32" s="134"/>
      <c r="F32" s="177"/>
      <c r="G32" s="417"/>
      <c r="H32" s="492"/>
      <c r="I32" s="492"/>
      <c r="J32" s="344"/>
      <c r="K32" s="493"/>
      <c r="L32" s="128"/>
      <c r="M32" s="128"/>
      <c r="N32" s="425"/>
      <c r="O32" s="425"/>
      <c r="P32" s="203"/>
      <c r="Q32" s="203"/>
      <c r="R32" s="203"/>
      <c r="S32" s="345"/>
      <c r="T32" s="64" t="s">
        <v>32</v>
      </c>
      <c r="U32" s="68">
        <f>COUNTIF(D27:D46,"천")</f>
        <v>0</v>
      </c>
      <c r="V32" s="69">
        <f>COUNTIF(I27:I46,"천")</f>
        <v>0</v>
      </c>
      <c r="W32" s="64" t="s">
        <v>26</v>
      </c>
      <c r="X32" s="64">
        <f>SUMIF(D27:D46,"천",F27:F46)</f>
        <v>0</v>
      </c>
      <c r="Y32" s="65">
        <f>SUMIF(I27:I46,"천",K27:K46)</f>
        <v>0</v>
      </c>
      <c r="Z32" s="64">
        <f>COUNTIF(AJ27:AJ46,"천국")+COUNTIF(AJ27:AJ46,"천공")</f>
        <v>0</v>
      </c>
      <c r="AA32" s="65">
        <f>COUNTIF(AK27:AK46,"천국")+COUNTIF(AK27:AK46,"천공")</f>
        <v>0</v>
      </c>
      <c r="AB32" s="64" t="s">
        <v>26</v>
      </c>
      <c r="AC32" s="64">
        <f>SUMIF(AJ27:AJ46,"천국",F27:F46)+SUMIF(AJ27:AJ46,"천공",F27:F46)</f>
        <v>0</v>
      </c>
      <c r="AD32" s="65">
        <f>SUMIF(AK27:AK46,"천국",K27:K46)+SUMIF(AK27:AK46,"천공",K27:K46)</f>
        <v>0</v>
      </c>
      <c r="AE32" s="64">
        <f t="shared" si="5"/>
        <v>0</v>
      </c>
      <c r="AF32" s="65">
        <f t="shared" si="5"/>
        <v>0</v>
      </c>
      <c r="AG32" s="64" t="s">
        <v>26</v>
      </c>
      <c r="AH32" s="64">
        <f t="shared" si="6"/>
        <v>0</v>
      </c>
      <c r="AI32" s="65">
        <f t="shared" si="6"/>
        <v>0</v>
      </c>
      <c r="AJ32" s="64" t="str">
        <f t="shared" si="7"/>
        <v/>
      </c>
      <c r="AK32" s="64" t="str">
        <f t="shared" si="3"/>
        <v/>
      </c>
      <c r="AL32" s="66"/>
      <c r="AM32" s="66"/>
    </row>
    <row r="33" spans="1:39" s="67" customFormat="1" ht="24" hidden="1" customHeight="1" x14ac:dyDescent="0.15">
      <c r="A33" s="160">
        <v>27</v>
      </c>
      <c r="B33" s="222"/>
      <c r="C33" s="133"/>
      <c r="D33" s="133"/>
      <c r="E33" s="134"/>
      <c r="F33" s="364"/>
      <c r="G33" s="417"/>
      <c r="H33" s="492"/>
      <c r="I33" s="492"/>
      <c r="J33" s="344"/>
      <c r="K33" s="495"/>
      <c r="L33" s="128"/>
      <c r="M33" s="128"/>
      <c r="N33" s="425"/>
      <c r="O33" s="425"/>
      <c r="P33" s="203"/>
      <c r="Q33" s="203"/>
      <c r="R33" s="203"/>
      <c r="S33" s="345"/>
      <c r="T33" s="64" t="s">
        <v>33</v>
      </c>
      <c r="U33" s="64">
        <f>COUNTIF(D27:D46,"구")</f>
        <v>0</v>
      </c>
      <c r="V33" s="65">
        <f>COUNTIF(I27:I46,"구")</f>
        <v>0</v>
      </c>
      <c r="W33" s="64" t="s">
        <v>26</v>
      </c>
      <c r="X33" s="64">
        <f>SUMIF(D27:D46,"구",F27:F46)</f>
        <v>0</v>
      </c>
      <c r="Y33" s="65">
        <f>SUMIF(I27:I46,"구",K27:K46)</f>
        <v>0</v>
      </c>
      <c r="Z33" s="64">
        <f>COUNTIF(AJ27:AJ46,"구국")+COUNTIF(AJ27:AJ46,"구공")</f>
        <v>0</v>
      </c>
      <c r="AA33" s="65">
        <f>COUNTIF(AK27:AK46,"구국")+COUNTIF(AK27:AK46,"구공")</f>
        <v>0</v>
      </c>
      <c r="AB33" s="64" t="s">
        <v>26</v>
      </c>
      <c r="AC33" s="64">
        <f>SUMIF(AJ27:AJ46,"구국",F27:F46)+SUMIF(AJ27:AJ46,"구공",F27:F46)</f>
        <v>0</v>
      </c>
      <c r="AD33" s="65">
        <f>SUMIF(AK27:AK46,"구국",K27:K46)+SUMIF(AK27:AK46,"구공",K27:K46)</f>
        <v>0</v>
      </c>
      <c r="AE33" s="64">
        <f t="shared" si="5"/>
        <v>0</v>
      </c>
      <c r="AF33" s="65">
        <f t="shared" si="5"/>
        <v>0</v>
      </c>
      <c r="AG33" s="64" t="s">
        <v>26</v>
      </c>
      <c r="AH33" s="64">
        <f t="shared" si="6"/>
        <v>0</v>
      </c>
      <c r="AI33" s="65">
        <f t="shared" si="6"/>
        <v>0</v>
      </c>
      <c r="AJ33" s="64" t="str">
        <f t="shared" si="7"/>
        <v/>
      </c>
      <c r="AK33" s="64" t="str">
        <f t="shared" si="3"/>
        <v/>
      </c>
      <c r="AL33" s="66"/>
      <c r="AM33" s="66"/>
    </row>
    <row r="34" spans="1:39" s="67" customFormat="1" ht="24" hidden="1" customHeight="1" x14ac:dyDescent="0.15">
      <c r="A34" s="160">
        <v>28</v>
      </c>
      <c r="B34" s="222"/>
      <c r="C34" s="133"/>
      <c r="D34" s="133"/>
      <c r="E34" s="134"/>
      <c r="F34" s="177"/>
      <c r="G34" s="417"/>
      <c r="H34" s="492"/>
      <c r="I34" s="492"/>
      <c r="J34" s="344"/>
      <c r="K34" s="493"/>
      <c r="L34" s="128"/>
      <c r="M34" s="128"/>
      <c r="N34" s="425"/>
      <c r="O34" s="425"/>
      <c r="P34" s="203"/>
      <c r="Q34" s="203"/>
      <c r="R34" s="203"/>
      <c r="S34" s="345"/>
      <c r="T34" s="64" t="s">
        <v>34</v>
      </c>
      <c r="U34" s="64">
        <f>COUNTIF(D27:D46,"제")</f>
        <v>0</v>
      </c>
      <c r="V34" s="65">
        <f>COUNTIF(I27:I46,"제")</f>
        <v>0</v>
      </c>
      <c r="W34" s="64" t="s">
        <v>26</v>
      </c>
      <c r="X34" s="64">
        <f>SUMIF(D27:D46,"제",F27:F46)</f>
        <v>0</v>
      </c>
      <c r="Y34" s="65">
        <f>SUMIF(I27:I46,"제",K27:K46)</f>
        <v>0</v>
      </c>
      <c r="Z34" s="64">
        <f>COUNTIF(AJ27:AJ46,"제국")+COUNTIF(AJ27:AJ46,"제공")</f>
        <v>0</v>
      </c>
      <c r="AA34" s="65">
        <f>COUNTIF(AK27:AK46,"제국")+COUNTIF(AK27:AK46,"제공")</f>
        <v>0</v>
      </c>
      <c r="AB34" s="64" t="s">
        <v>26</v>
      </c>
      <c r="AC34" s="64">
        <f>SUMIF(AJ27:AJ46,"제국",F27:F46)+SUMIF(AJ27:AJ46,"제공",F27:F46)</f>
        <v>0</v>
      </c>
      <c r="AD34" s="65">
        <f>SUMIF(AK27:AK46,"제국",K27:K46)+SUMIF(AK27:AK46,"제공",K27:K46)</f>
        <v>0</v>
      </c>
      <c r="AE34" s="64">
        <f t="shared" si="5"/>
        <v>0</v>
      </c>
      <c r="AF34" s="65">
        <f t="shared" si="5"/>
        <v>0</v>
      </c>
      <c r="AG34" s="64" t="s">
        <v>26</v>
      </c>
      <c r="AH34" s="64">
        <f t="shared" si="6"/>
        <v>0</v>
      </c>
      <c r="AI34" s="65">
        <f t="shared" si="6"/>
        <v>0</v>
      </c>
      <c r="AJ34" s="64" t="str">
        <f t="shared" si="7"/>
        <v/>
      </c>
      <c r="AK34" s="64" t="str">
        <f t="shared" si="3"/>
        <v/>
      </c>
      <c r="AL34" s="66"/>
      <c r="AM34" s="66"/>
    </row>
    <row r="35" spans="1:39" s="67" customFormat="1" ht="24" hidden="1" customHeight="1" x14ac:dyDescent="0.15">
      <c r="A35" s="160">
        <v>29</v>
      </c>
      <c r="B35" s="222"/>
      <c r="C35" s="191"/>
      <c r="D35" s="133"/>
      <c r="E35" s="192"/>
      <c r="F35" s="615"/>
      <c r="G35" s="600"/>
      <c r="H35" s="613"/>
      <c r="I35" s="613"/>
      <c r="J35" s="616"/>
      <c r="K35" s="617"/>
      <c r="L35" s="193"/>
      <c r="M35" s="193"/>
      <c r="N35" s="440"/>
      <c r="O35" s="440"/>
      <c r="P35" s="618"/>
      <c r="Q35" s="618"/>
      <c r="R35" s="618"/>
      <c r="S35" s="342"/>
      <c r="T35" s="64" t="s">
        <v>46</v>
      </c>
      <c r="U35" s="64">
        <f>COUNTIF(D27:D46,"유")</f>
        <v>0</v>
      </c>
      <c r="V35" s="65">
        <f>COUNTIF(I27:I46,"유")</f>
        <v>0</v>
      </c>
      <c r="W35" s="64" t="s">
        <v>26</v>
      </c>
      <c r="X35" s="64">
        <f>SUMIF(D27:D46,"유",F27:F46)</f>
        <v>0</v>
      </c>
      <c r="Y35" s="65">
        <f>SUMIF(I27:I46,"유",K27:K46)</f>
        <v>0</v>
      </c>
      <c r="Z35" s="64">
        <f>COUNTIF(AJ27:AJ46,"유국")+COUNTIF(AJ27:AJ46,"유공")</f>
        <v>0</v>
      </c>
      <c r="AA35" s="65">
        <f>COUNTIF(AK27:AK46,"유국")+COUNTIF(AK27:AK46,"유공")</f>
        <v>0</v>
      </c>
      <c r="AB35" s="64" t="s">
        <v>26</v>
      </c>
      <c r="AC35" s="64">
        <f>SUMIF(AJ27:AJ46,"유국",F27:F46)+SUMIF(AJ27:AJ46,"유공",F27:F46)</f>
        <v>0</v>
      </c>
      <c r="AD35" s="65">
        <f>SUMIF(AK27:AK46,"유국",K27:K46)+SUMIF(AK27:AK46,"유공",K27:K46)</f>
        <v>0</v>
      </c>
      <c r="AE35" s="64">
        <f t="shared" si="5"/>
        <v>0</v>
      </c>
      <c r="AF35" s="65">
        <f t="shared" si="5"/>
        <v>0</v>
      </c>
      <c r="AG35" s="64" t="s">
        <v>26</v>
      </c>
      <c r="AH35" s="64">
        <f t="shared" si="6"/>
        <v>0</v>
      </c>
      <c r="AI35" s="65">
        <f t="shared" si="6"/>
        <v>0</v>
      </c>
      <c r="AJ35" s="64" t="str">
        <f t="shared" si="7"/>
        <v/>
      </c>
      <c r="AK35" s="64" t="str">
        <f t="shared" si="3"/>
        <v/>
      </c>
      <c r="AL35" s="66"/>
      <c r="AM35" s="66"/>
    </row>
    <row r="36" spans="1:39" s="67" customFormat="1" ht="24" hidden="1" customHeight="1" x14ac:dyDescent="0.15">
      <c r="A36" s="160">
        <v>30</v>
      </c>
      <c r="B36" s="222"/>
      <c r="C36" s="133"/>
      <c r="D36" s="133"/>
      <c r="E36" s="134"/>
      <c r="F36" s="135"/>
      <c r="G36" s="417"/>
      <c r="H36" s="492"/>
      <c r="I36" s="492"/>
      <c r="J36" s="344"/>
      <c r="K36" s="493"/>
      <c r="L36" s="128"/>
      <c r="M36" s="128"/>
      <c r="N36" s="425"/>
      <c r="O36" s="425"/>
      <c r="P36" s="370"/>
      <c r="Q36" s="370"/>
      <c r="R36" s="370"/>
      <c r="S36" s="342"/>
      <c r="T36" s="64" t="s">
        <v>47</v>
      </c>
      <c r="U36" s="64">
        <f>COUNTIF(D27:D46,"과")</f>
        <v>0</v>
      </c>
      <c r="V36" s="65">
        <f>COUNTIF(I27:I46,"과")</f>
        <v>0</v>
      </c>
      <c r="W36" s="64" t="s">
        <v>26</v>
      </c>
      <c r="X36" s="64">
        <f>SUMIF(D27:D46,"과",F27:F46)</f>
        <v>0</v>
      </c>
      <c r="Y36" s="65">
        <f>SUMIF(I27:I46,"과",K27:K46)</f>
        <v>0</v>
      </c>
      <c r="Z36" s="64">
        <f>COUNTIF(AJ27:AJ46,"과국")+COUNTIF(AJ27:AJ46,"과공")</f>
        <v>0</v>
      </c>
      <c r="AA36" s="65">
        <f>COUNTIF(AK27:AK46,"과국")+COUNTIF(AK27:AK46,"과공")</f>
        <v>0</v>
      </c>
      <c r="AB36" s="64" t="s">
        <v>26</v>
      </c>
      <c r="AC36" s="64">
        <f>SUMIF(AJ27:AJ46,"과국",F27:F46)+SUMIF(AJ27:AJ46,"과공",F27:F46)</f>
        <v>0</v>
      </c>
      <c r="AD36" s="65">
        <f>SUMIF(AK27:AK46,"과국",K27:K46)+SUMIF(AK27:AK46,"과공",K27:K46)</f>
        <v>0</v>
      </c>
      <c r="AE36" s="64">
        <f t="shared" si="5"/>
        <v>0</v>
      </c>
      <c r="AF36" s="65">
        <f t="shared" si="5"/>
        <v>0</v>
      </c>
      <c r="AG36" s="64" t="s">
        <v>26</v>
      </c>
      <c r="AH36" s="64">
        <f t="shared" si="6"/>
        <v>0</v>
      </c>
      <c r="AI36" s="65">
        <f t="shared" si="6"/>
        <v>0</v>
      </c>
      <c r="AJ36" s="64" t="str">
        <f t="shared" si="7"/>
        <v/>
      </c>
      <c r="AK36" s="64" t="str">
        <f t="shared" si="3"/>
        <v/>
      </c>
      <c r="AL36" s="66"/>
      <c r="AM36" s="66"/>
    </row>
    <row r="37" spans="1:39" s="67" customFormat="1" ht="24" hidden="1" customHeight="1" x14ac:dyDescent="0.15">
      <c r="A37" s="160">
        <v>31</v>
      </c>
      <c r="B37" s="222"/>
      <c r="C37" s="133"/>
      <c r="D37" s="133"/>
      <c r="E37" s="363"/>
      <c r="F37" s="177"/>
      <c r="G37" s="417"/>
      <c r="H37" s="492"/>
      <c r="I37" s="492"/>
      <c r="J37" s="493"/>
      <c r="K37" s="493"/>
      <c r="L37" s="128"/>
      <c r="M37" s="128"/>
      <c r="N37" s="425"/>
      <c r="O37" s="425"/>
      <c r="P37" s="370"/>
      <c r="Q37" s="370"/>
      <c r="R37" s="203"/>
      <c r="S37" s="342"/>
      <c r="T37" s="64" t="s">
        <v>36</v>
      </c>
      <c r="U37" s="64">
        <f>COUNTIF(D27:D46,"묘")</f>
        <v>0</v>
      </c>
      <c r="V37" s="65">
        <f>COUNTIF(I27:I46,"묘")</f>
        <v>0</v>
      </c>
      <c r="W37" s="64" t="s">
        <v>26</v>
      </c>
      <c r="X37" s="64">
        <f>SUMIF(D27:D46,"묘",F27:F46)</f>
        <v>0</v>
      </c>
      <c r="Y37" s="65">
        <f>SUMIF(I27:I46,"묘",K27:K46)</f>
        <v>0</v>
      </c>
      <c r="Z37" s="64">
        <f>COUNTIF(AJ27:AJ46,"묘국")+COUNTIF(AJ27:AJ46,"묘공")</f>
        <v>0</v>
      </c>
      <c r="AA37" s="65">
        <f>COUNTIF(AK27:AK46,"묘국")+COUNTIF(AK27:AK46,"묘공")</f>
        <v>0</v>
      </c>
      <c r="AB37" s="64" t="s">
        <v>26</v>
      </c>
      <c r="AC37" s="64">
        <f>SUMIF(AJ27:AJ46,"묘국",F27:F46)+SUMIF(AJ27:AJ46,"묘공",F27:F46)</f>
        <v>0</v>
      </c>
      <c r="AD37" s="65">
        <f>SUMIF(AK27:AK46,"묘국",K27:K46)+SUMIF(AK27:AK46,"묘공",K27:K46)</f>
        <v>0</v>
      </c>
      <c r="AE37" s="64">
        <f t="shared" si="5"/>
        <v>0</v>
      </c>
      <c r="AF37" s="65">
        <f t="shared" si="5"/>
        <v>0</v>
      </c>
      <c r="AG37" s="64" t="s">
        <v>26</v>
      </c>
      <c r="AH37" s="64">
        <f t="shared" si="6"/>
        <v>0</v>
      </c>
      <c r="AI37" s="65">
        <f t="shared" si="6"/>
        <v>0</v>
      </c>
      <c r="AJ37" s="64" t="str">
        <f t="shared" si="7"/>
        <v/>
      </c>
      <c r="AK37" s="64" t="str">
        <f t="shared" si="3"/>
        <v/>
      </c>
      <c r="AL37" s="66"/>
      <c r="AM37" s="66"/>
    </row>
    <row r="38" spans="1:39" s="67" customFormat="1" ht="24" hidden="1" customHeight="1" x14ac:dyDescent="0.15">
      <c r="A38" s="160">
        <v>32</v>
      </c>
      <c r="B38" s="222"/>
      <c r="C38" s="133"/>
      <c r="D38" s="133"/>
      <c r="E38" s="177"/>
      <c r="F38" s="177"/>
      <c r="G38" s="417"/>
      <c r="H38" s="492"/>
      <c r="I38" s="492"/>
      <c r="J38" s="493"/>
      <c r="K38" s="493"/>
      <c r="L38" s="128"/>
      <c r="M38" s="102"/>
      <c r="N38" s="425"/>
      <c r="O38" s="455"/>
      <c r="P38" s="370"/>
      <c r="Q38" s="370"/>
      <c r="R38" s="203"/>
      <c r="S38" s="342"/>
      <c r="T38" s="64" t="s">
        <v>39</v>
      </c>
      <c r="U38" s="64">
        <f>COUNTIF(D27:D46,"수")</f>
        <v>0</v>
      </c>
      <c r="V38" s="65">
        <f>COUNTIF(I27:I46,"수")</f>
        <v>0</v>
      </c>
      <c r="W38" s="64" t="s">
        <v>26</v>
      </c>
      <c r="X38" s="64">
        <f>SUMIF(D27:D46,"수",F27:F46)</f>
        <v>0</v>
      </c>
      <c r="Y38" s="65">
        <f>SUMIF(I27:I46,"수",K27:K46)</f>
        <v>0</v>
      </c>
      <c r="Z38" s="64">
        <f>COUNTIF(AJ27:AJ46,"수국")+COUNTIF(AJ27:AJ46,"수공")</f>
        <v>0</v>
      </c>
      <c r="AA38" s="65">
        <f>COUNTIF(AK27:AK46,"수국")+COUNTIF(AK27:AK46,"수공")</f>
        <v>0</v>
      </c>
      <c r="AB38" s="64" t="s">
        <v>26</v>
      </c>
      <c r="AC38" s="64">
        <f>SUMIF(AJ27:AJ46,"수국",F27:F46)+SUMIF(AJ27:AJ46,"수공",F27:F46)</f>
        <v>0</v>
      </c>
      <c r="AD38" s="65">
        <f>SUMIF(AK27:AK46,"수국",K27:K46)+SUMIF(AK27:AK46,"수공",K27:K46)</f>
        <v>0</v>
      </c>
      <c r="AE38" s="64">
        <f t="shared" si="5"/>
        <v>0</v>
      </c>
      <c r="AF38" s="65">
        <f t="shared" si="5"/>
        <v>0</v>
      </c>
      <c r="AG38" s="64" t="s">
        <v>26</v>
      </c>
      <c r="AH38" s="64">
        <f t="shared" si="6"/>
        <v>0</v>
      </c>
      <c r="AI38" s="65">
        <f t="shared" si="6"/>
        <v>0</v>
      </c>
      <c r="AJ38" s="64" t="str">
        <f t="shared" si="7"/>
        <v/>
      </c>
      <c r="AK38" s="64" t="str">
        <f t="shared" si="3"/>
        <v/>
      </c>
      <c r="AL38" s="66"/>
      <c r="AM38" s="66"/>
    </row>
    <row r="39" spans="1:39" s="67" customFormat="1" ht="24" hidden="1" customHeight="1" x14ac:dyDescent="0.15">
      <c r="A39" s="160">
        <v>33</v>
      </c>
      <c r="B39" s="222"/>
      <c r="C39" s="133"/>
      <c r="D39" s="133"/>
      <c r="E39" s="363"/>
      <c r="F39" s="177"/>
      <c r="G39" s="417"/>
      <c r="H39" s="492"/>
      <c r="I39" s="492"/>
      <c r="J39" s="493"/>
      <c r="K39" s="493"/>
      <c r="L39" s="102"/>
      <c r="M39" s="102"/>
      <c r="N39" s="425"/>
      <c r="O39" s="455"/>
      <c r="P39" s="203"/>
      <c r="Q39" s="203"/>
      <c r="R39" s="203"/>
      <c r="S39" s="342"/>
      <c r="T39" s="64" t="s">
        <v>35</v>
      </c>
      <c r="U39" s="64">
        <f>COUNTIF(D27:D46,"잡")</f>
        <v>0</v>
      </c>
      <c r="V39" s="65">
        <f>COUNTIF(I27:I46,"잡")</f>
        <v>0</v>
      </c>
      <c r="W39" s="64" t="s">
        <v>26</v>
      </c>
      <c r="X39" s="64">
        <f>SUMIF(D27:D46,"잡",F27:F46)</f>
        <v>0</v>
      </c>
      <c r="Y39" s="65">
        <f>SUMIF(I27:I46,"잡",K27:K46)</f>
        <v>0</v>
      </c>
      <c r="Z39" s="64">
        <f>COUNTIF(AJ27:AJ46,"잡국")+COUNTIF(AJ27:AJ46,"잡공")</f>
        <v>0</v>
      </c>
      <c r="AA39" s="65">
        <f>COUNTIF(AK27:AK46,"잡국")+COUNTIF(AK27:AK46,"잡공")</f>
        <v>0</v>
      </c>
      <c r="AB39" s="64" t="s">
        <v>26</v>
      </c>
      <c r="AC39" s="64">
        <f>SUMIF(AJ27:AJ46,"잡국",F27:F46)+SUMIF(AJ27:AJ46,"잡공",F27:F46)</f>
        <v>0</v>
      </c>
      <c r="AD39" s="65">
        <f>SUMIF(AK27:AK46,"잡국",K27:K46)+SUMIF(AK27:AK46,"잡공",K27:K46)</f>
        <v>0</v>
      </c>
      <c r="AE39" s="64">
        <f t="shared" si="5"/>
        <v>0</v>
      </c>
      <c r="AF39" s="65">
        <f t="shared" si="5"/>
        <v>0</v>
      </c>
      <c r="AG39" s="64" t="s">
        <v>26</v>
      </c>
      <c r="AH39" s="64">
        <f t="shared" si="6"/>
        <v>0</v>
      </c>
      <c r="AI39" s="65">
        <f t="shared" si="6"/>
        <v>0</v>
      </c>
      <c r="AJ39" s="64" t="str">
        <f t="shared" si="7"/>
        <v/>
      </c>
      <c r="AK39" s="64" t="str">
        <f t="shared" si="3"/>
        <v/>
      </c>
      <c r="AL39" s="66"/>
      <c r="AM39" s="66"/>
    </row>
    <row r="40" spans="1:39" s="67" customFormat="1" ht="24" hidden="1" customHeight="1" x14ac:dyDescent="0.15">
      <c r="A40" s="348">
        <v>34</v>
      </c>
      <c r="B40" s="222"/>
      <c r="C40" s="133"/>
      <c r="D40" s="133"/>
      <c r="E40" s="177"/>
      <c r="F40" s="177"/>
      <c r="G40" s="417"/>
      <c r="H40" s="492"/>
      <c r="I40" s="492"/>
      <c r="J40" s="493"/>
      <c r="K40" s="493"/>
      <c r="L40" s="102"/>
      <c r="M40" s="153"/>
      <c r="N40" s="425"/>
      <c r="O40" s="455"/>
      <c r="P40" s="203"/>
      <c r="Q40" s="203"/>
      <c r="R40" s="203"/>
      <c r="S40" s="342"/>
      <c r="T40" s="64" t="s">
        <v>51</v>
      </c>
      <c r="U40" s="64">
        <f>COUNTIF(D27:D46,"체")</f>
        <v>0</v>
      </c>
      <c r="V40" s="65">
        <f>COUNTIF(I27:I46,"체")</f>
        <v>0</v>
      </c>
      <c r="W40" s="64" t="s">
        <v>26</v>
      </c>
      <c r="X40" s="64">
        <f>SUMIF(D27:D46,"체",F27:F46)</f>
        <v>0</v>
      </c>
      <c r="Y40" s="65">
        <f>SUMIF(I27:I46,"체",K27:K46)</f>
        <v>0</v>
      </c>
      <c r="Z40" s="64">
        <f>COUNTIF(AJ27:AJ46,"체국")+COUNTIF(AJ27:AJ46,"체공")</f>
        <v>0</v>
      </c>
      <c r="AA40" s="65">
        <f>COUNTIF(AK27:AK46,"체국")+COUNTIF(AK27:AK46,"체공")</f>
        <v>0</v>
      </c>
      <c r="AB40" s="64" t="s">
        <v>26</v>
      </c>
      <c r="AC40" s="64">
        <f>SUMIF(AJ27:AJ46,"체국",F27:F46)+SUMIF(AJ27:AJ46,"체공",F27:F46)</f>
        <v>0</v>
      </c>
      <c r="AD40" s="65">
        <f>SUMIF(AK27:AK46,"체국",K27:K46)+SUMIF(AK27:AK46,"체공",K27:K46)</f>
        <v>0</v>
      </c>
      <c r="AE40" s="64">
        <f t="shared" si="5"/>
        <v>0</v>
      </c>
      <c r="AF40" s="65">
        <f t="shared" si="5"/>
        <v>0</v>
      </c>
      <c r="AG40" s="64" t="s">
        <v>26</v>
      </c>
      <c r="AH40" s="64">
        <f t="shared" si="6"/>
        <v>0</v>
      </c>
      <c r="AI40" s="65">
        <f t="shared" si="6"/>
        <v>0</v>
      </c>
      <c r="AJ40" s="64" t="str">
        <f t="shared" si="7"/>
        <v/>
      </c>
      <c r="AK40" s="64" t="str">
        <f t="shared" si="3"/>
        <v/>
      </c>
      <c r="AL40" s="66"/>
      <c r="AM40" s="66"/>
    </row>
    <row r="41" spans="1:39" s="67" customFormat="1" ht="24" hidden="1" customHeight="1" x14ac:dyDescent="0.15">
      <c r="A41" s="348">
        <v>35</v>
      </c>
      <c r="B41" s="222"/>
      <c r="C41" s="133"/>
      <c r="D41" s="133"/>
      <c r="E41" s="177"/>
      <c r="F41" s="177"/>
      <c r="G41" s="417"/>
      <c r="H41" s="492"/>
      <c r="I41" s="492"/>
      <c r="J41" s="493"/>
      <c r="K41" s="493"/>
      <c r="L41" s="132"/>
      <c r="M41" s="153"/>
      <c r="N41" s="455"/>
      <c r="O41" s="455"/>
      <c r="P41" s="203"/>
      <c r="Q41" s="203"/>
      <c r="R41" s="203"/>
      <c r="S41" s="342"/>
      <c r="T41" s="64" t="s">
        <v>50</v>
      </c>
      <c r="U41" s="64">
        <f>COUNTIF(D27:D46,"공")</f>
        <v>0</v>
      </c>
      <c r="V41" s="65">
        <f>COUNTIF(I27:I46,"공")</f>
        <v>0</v>
      </c>
      <c r="W41" s="64" t="s">
        <v>26</v>
      </c>
      <c r="X41" s="64">
        <f>SUMIF(D27:D46,"공",F27:F46)</f>
        <v>0</v>
      </c>
      <c r="Y41" s="65">
        <f>SUMIF(I27:I46,"공",K27:K46)</f>
        <v>0</v>
      </c>
      <c r="Z41" s="64">
        <f>COUNTIF(AJ27:AJ46,"공국")+COUNTIF(AJ27:AJ46,"공공")</f>
        <v>0</v>
      </c>
      <c r="AA41" s="65">
        <f>COUNTIF(AK27:AK46,"공국")+COUNTIF(AK27:AK46,"공공")</f>
        <v>0</v>
      </c>
      <c r="AB41" s="64" t="s">
        <v>26</v>
      </c>
      <c r="AC41" s="64">
        <f>SUMIF(AJ27:AJ46,"공국",F27:F46)+SUMIF(AJ27:AJ46,"공공",F27:F46)</f>
        <v>0</v>
      </c>
      <c r="AD41" s="65">
        <f>SUMIF(AK27:AK46,"공국",K27:K46)+SUMIF(AK27:AK46,"공공",K27:K46)</f>
        <v>0</v>
      </c>
      <c r="AE41" s="64">
        <f t="shared" si="5"/>
        <v>0</v>
      </c>
      <c r="AF41" s="65">
        <f t="shared" si="5"/>
        <v>0</v>
      </c>
      <c r="AG41" s="64" t="s">
        <v>26</v>
      </c>
      <c r="AH41" s="64">
        <f t="shared" si="6"/>
        <v>0</v>
      </c>
      <c r="AI41" s="65">
        <f t="shared" si="6"/>
        <v>0</v>
      </c>
      <c r="AJ41" s="64" t="str">
        <f t="shared" si="7"/>
        <v/>
      </c>
      <c r="AK41" s="64" t="str">
        <f t="shared" si="3"/>
        <v/>
      </c>
      <c r="AL41" s="66"/>
      <c r="AM41" s="66"/>
    </row>
    <row r="42" spans="1:39" s="67" customFormat="1" ht="24" hidden="1" customHeight="1" x14ac:dyDescent="0.15">
      <c r="A42" s="348">
        <v>36</v>
      </c>
      <c r="B42" s="222"/>
      <c r="C42" s="133"/>
      <c r="D42" s="133"/>
      <c r="E42" s="177"/>
      <c r="F42" s="177"/>
      <c r="G42" s="417"/>
      <c r="H42" s="492"/>
      <c r="I42" s="492"/>
      <c r="J42" s="493"/>
      <c r="K42" s="493"/>
      <c r="L42" s="132"/>
      <c r="M42" s="153"/>
      <c r="N42" s="455"/>
      <c r="O42" s="566"/>
      <c r="P42" s="203"/>
      <c r="Q42" s="203"/>
      <c r="R42" s="203"/>
      <c r="S42" s="342"/>
      <c r="T42" s="70" t="s">
        <v>40</v>
      </c>
      <c r="U42" s="64">
        <f>COUNTIF(D27:D46,"장")</f>
        <v>0</v>
      </c>
      <c r="V42" s="65">
        <f>COUNTIF(I27:I46,"장")</f>
        <v>0</v>
      </c>
      <c r="W42" s="64" t="s">
        <v>26</v>
      </c>
      <c r="X42" s="64">
        <f>SUMIF(D27:D46,"장",F27:F46)</f>
        <v>0</v>
      </c>
      <c r="Y42" s="65">
        <f>SUMIF(I27:I46,"장",K27:K46)</f>
        <v>0</v>
      </c>
      <c r="Z42" s="64">
        <f>COUNTIF(AJ27:AJ46,"장국")+COUNTIF(AJ27:AJ46,"장공")</f>
        <v>0</v>
      </c>
      <c r="AA42" s="65">
        <f>COUNTIF(AK27:AK46,"장국")+COUNTIF(AK27:AK46,"장공")</f>
        <v>0</v>
      </c>
      <c r="AB42" s="64" t="s">
        <v>26</v>
      </c>
      <c r="AC42" s="64">
        <f>SUMIF(AJ27:AJ46,"장국",F27:F46)+SUMIF(AJ27:AJ46,"장공",F27:F46)</f>
        <v>0</v>
      </c>
      <c r="AD42" s="65">
        <f>SUMIF(AK27:AK46,"장국",K27:K46)+SUMIF(AK27:AK46,"장공",K27:K46)</f>
        <v>0</v>
      </c>
      <c r="AE42" s="64">
        <f t="shared" si="5"/>
        <v>0</v>
      </c>
      <c r="AF42" s="65">
        <f t="shared" si="5"/>
        <v>0</v>
      </c>
      <c r="AG42" s="64" t="s">
        <v>26</v>
      </c>
      <c r="AH42" s="64">
        <f t="shared" si="6"/>
        <v>0</v>
      </c>
      <c r="AI42" s="65">
        <f t="shared" si="6"/>
        <v>0</v>
      </c>
      <c r="AJ42" s="64" t="str">
        <f t="shared" si="7"/>
        <v/>
      </c>
      <c r="AK42" s="64" t="str">
        <f t="shared" si="3"/>
        <v/>
      </c>
      <c r="AL42" s="66"/>
      <c r="AM42" s="66"/>
    </row>
    <row r="43" spans="1:39" s="67" customFormat="1" ht="24" hidden="1" customHeight="1" x14ac:dyDescent="0.15">
      <c r="A43" s="348">
        <v>37</v>
      </c>
      <c r="B43" s="222"/>
      <c r="C43" s="229"/>
      <c r="D43" s="353"/>
      <c r="E43" s="357"/>
      <c r="F43" s="357"/>
      <c r="G43" s="417"/>
      <c r="H43" s="533"/>
      <c r="I43" s="499"/>
      <c r="J43" s="417"/>
      <c r="K43" s="417"/>
      <c r="L43" s="132"/>
      <c r="M43" s="138"/>
      <c r="N43" s="455"/>
      <c r="O43" s="455"/>
      <c r="P43" s="203"/>
      <c r="Q43" s="203"/>
      <c r="R43" s="203"/>
      <c r="S43" s="342"/>
      <c r="T43" s="70" t="s">
        <v>5</v>
      </c>
      <c r="U43" s="64">
        <f>COUNTIF(D27:D46,"목")</f>
        <v>0</v>
      </c>
      <c r="V43" s="65">
        <f>COUNTIF(I27:I46,"목")</f>
        <v>0</v>
      </c>
      <c r="W43" s="64" t="s">
        <v>26</v>
      </c>
      <c r="X43" s="64">
        <f>SUMIF(D27:D46,"목",F27:F46)</f>
        <v>0</v>
      </c>
      <c r="Y43" s="65">
        <f>SUMIF(I27:I46,"목",K27:K46)</f>
        <v>0</v>
      </c>
      <c r="Z43" s="64">
        <f>COUNTIF(AJ27:AJ46,"목국")+COUNTIF(AJ27:AJ46,"목공")</f>
        <v>0</v>
      </c>
      <c r="AA43" s="65">
        <f>COUNTIF(AK27:AK46,"목국")+COUNTIF(AK27:AK46,"목공")</f>
        <v>0</v>
      </c>
      <c r="AB43" s="64" t="s">
        <v>26</v>
      </c>
      <c r="AC43" s="64">
        <f>SUMIF(AJ27:AJ46,"목국",F27:F46)+SUMIF(AJ27:AJ46,"목공",F27:F46)</f>
        <v>0</v>
      </c>
      <c r="AD43" s="65">
        <f>SUMIF(AK27:AK46,"목국",K27:K46)+SUMIF(AK27:AK46,"목공",K27:K46)</f>
        <v>0</v>
      </c>
      <c r="AE43" s="64">
        <f t="shared" si="5"/>
        <v>0</v>
      </c>
      <c r="AF43" s="65">
        <f t="shared" si="5"/>
        <v>0</v>
      </c>
      <c r="AG43" s="64" t="s">
        <v>26</v>
      </c>
      <c r="AH43" s="64">
        <f t="shared" si="6"/>
        <v>0</v>
      </c>
      <c r="AI43" s="65">
        <f t="shared" si="6"/>
        <v>0</v>
      </c>
      <c r="AJ43" s="64" t="str">
        <f t="shared" si="7"/>
        <v/>
      </c>
      <c r="AK43" s="64" t="str">
        <f t="shared" si="3"/>
        <v/>
      </c>
      <c r="AL43" s="66"/>
      <c r="AM43" s="66"/>
    </row>
    <row r="44" spans="1:39" s="67" customFormat="1" ht="24" hidden="1" customHeight="1" x14ac:dyDescent="0.15">
      <c r="A44" s="348">
        <v>38</v>
      </c>
      <c r="B44" s="222"/>
      <c r="C44" s="133"/>
      <c r="D44" s="133"/>
      <c r="E44" s="177"/>
      <c r="F44" s="177"/>
      <c r="G44" s="417"/>
      <c r="H44" s="492"/>
      <c r="I44" s="492"/>
      <c r="J44" s="493"/>
      <c r="K44" s="493"/>
      <c r="L44" s="132"/>
      <c r="M44" s="132"/>
      <c r="N44" s="455"/>
      <c r="O44" s="455"/>
      <c r="P44" s="203"/>
      <c r="Q44" s="203"/>
      <c r="R44" s="203"/>
      <c r="S44" s="342"/>
      <c r="T44" s="70"/>
      <c r="U44" s="70"/>
      <c r="V44" s="71"/>
      <c r="W44" s="70"/>
      <c r="X44" s="70"/>
      <c r="Y44" s="71"/>
      <c r="Z44" s="64"/>
      <c r="AA44" s="65"/>
      <c r="AB44" s="70"/>
      <c r="AC44" s="64"/>
      <c r="AD44" s="65"/>
      <c r="AE44" s="70"/>
      <c r="AF44" s="71"/>
      <c r="AG44" s="70"/>
      <c r="AH44" s="70"/>
      <c r="AI44" s="71"/>
      <c r="AJ44" s="64" t="str">
        <f t="shared" si="7"/>
        <v/>
      </c>
      <c r="AK44" s="64" t="str">
        <f t="shared" si="3"/>
        <v/>
      </c>
      <c r="AL44" s="66"/>
      <c r="AM44" s="66"/>
    </row>
    <row r="45" spans="1:39" s="67" customFormat="1" ht="24" hidden="1" customHeight="1" x14ac:dyDescent="0.15">
      <c r="A45" s="348">
        <v>39</v>
      </c>
      <c r="B45" s="222"/>
      <c r="C45" s="132"/>
      <c r="D45" s="132"/>
      <c r="E45" s="177"/>
      <c r="F45" s="177"/>
      <c r="G45" s="417"/>
      <c r="H45" s="500"/>
      <c r="I45" s="500"/>
      <c r="J45" s="493"/>
      <c r="K45" s="493"/>
      <c r="L45" s="132"/>
      <c r="M45" s="102"/>
      <c r="N45" s="455"/>
      <c r="O45" s="455"/>
      <c r="P45" s="203"/>
      <c r="Q45" s="203"/>
      <c r="R45" s="203"/>
      <c r="S45" s="342"/>
      <c r="T45" s="70"/>
      <c r="U45" s="70"/>
      <c r="V45" s="71"/>
      <c r="W45" s="70"/>
      <c r="X45" s="70"/>
      <c r="Y45" s="71"/>
      <c r="Z45" s="64"/>
      <c r="AA45" s="65"/>
      <c r="AB45" s="70"/>
      <c r="AC45" s="64"/>
      <c r="AD45" s="65"/>
      <c r="AE45" s="70"/>
      <c r="AF45" s="71"/>
      <c r="AG45" s="70"/>
      <c r="AH45" s="70"/>
      <c r="AI45" s="71"/>
      <c r="AJ45" s="64" t="str">
        <f t="shared" si="7"/>
        <v/>
      </c>
      <c r="AK45" s="64" t="str">
        <f t="shared" si="3"/>
        <v/>
      </c>
      <c r="AL45" s="66"/>
      <c r="AM45" s="66"/>
    </row>
    <row r="46" spans="1:39" s="67" customFormat="1" ht="24" hidden="1" customHeight="1" x14ac:dyDescent="0.15">
      <c r="A46" s="348">
        <v>40</v>
      </c>
      <c r="B46" s="222"/>
      <c r="C46" s="229"/>
      <c r="D46" s="353"/>
      <c r="E46" s="357"/>
      <c r="F46" s="177"/>
      <c r="G46" s="417"/>
      <c r="H46" s="498"/>
      <c r="I46" s="499"/>
      <c r="J46" s="417"/>
      <c r="K46" s="417"/>
      <c r="L46" s="132"/>
      <c r="M46" s="102"/>
      <c r="N46" s="455"/>
      <c r="O46" s="455"/>
      <c r="P46" s="203"/>
      <c r="Q46" s="203"/>
      <c r="R46" s="203"/>
      <c r="S46" s="342"/>
      <c r="T46" s="72" t="s">
        <v>37</v>
      </c>
      <c r="U46" s="72">
        <f>COUNTIF(D27:D46,"철")</f>
        <v>0</v>
      </c>
      <c r="V46" s="73">
        <f>COUNTIF(I27:I46,"철")</f>
        <v>0</v>
      </c>
      <c r="W46" s="72" t="s">
        <v>26</v>
      </c>
      <c r="X46" s="72">
        <f>SUMIF(D27:D46,"철",F27:F46)</f>
        <v>0</v>
      </c>
      <c r="Y46" s="73">
        <f>SUMIF(I27:I46,"철",K27:K46)</f>
        <v>0</v>
      </c>
      <c r="Z46" s="64">
        <f>COUNTIF(AJ27:AJ46,"철국")+COUNTIF(AJ27:AJ46,"철공")</f>
        <v>0</v>
      </c>
      <c r="AA46" s="65">
        <f>COUNTIF(AK27:AK46,"철국")+COUNTIF(AK27:AK46,"철공")</f>
        <v>0</v>
      </c>
      <c r="AB46" s="72" t="s">
        <v>26</v>
      </c>
      <c r="AC46" s="64">
        <f>SUMIF(AJ27:AJ46,"철국",F27:F46)+SUMIF(AJ27:AJ46,"철공",F27:F46)</f>
        <v>0</v>
      </c>
      <c r="AD46" s="65">
        <f>SUMIF(AK27:AK46,"철국",K27:K46)+SUMIF(AK27:AK46,"철공",K27:K46)</f>
        <v>0</v>
      </c>
      <c r="AE46" s="72"/>
      <c r="AF46" s="73"/>
      <c r="AG46" s="72"/>
      <c r="AH46" s="72"/>
      <c r="AI46" s="73"/>
      <c r="AJ46" s="64" t="str">
        <f t="shared" si="7"/>
        <v/>
      </c>
      <c r="AK46" s="64" t="str">
        <f t="shared" si="3"/>
        <v/>
      </c>
      <c r="AL46" s="66"/>
      <c r="AM46" s="66"/>
    </row>
    <row r="47" spans="1:39" s="57" customFormat="1" ht="24" hidden="1" customHeight="1" thickBot="1" x14ac:dyDescent="0.2">
      <c r="A47" s="147" t="s">
        <v>48</v>
      </c>
      <c r="B47" s="148"/>
      <c r="C47" s="148"/>
      <c r="D47" s="148"/>
      <c r="E47" s="148"/>
      <c r="F47" s="149">
        <f>SUM(F27:F46)</f>
        <v>0</v>
      </c>
      <c r="G47" s="496"/>
      <c r="H47" s="496"/>
      <c r="I47" s="497"/>
      <c r="J47" s="515"/>
      <c r="K47" s="529">
        <f>SUM(K27:K46)</f>
        <v>0</v>
      </c>
      <c r="L47" s="150"/>
      <c r="M47" s="150"/>
      <c r="N47" s="432"/>
      <c r="O47" s="432"/>
      <c r="P47" s="150"/>
      <c r="Q47" s="150"/>
      <c r="R47" s="150"/>
      <c r="S47" s="151"/>
      <c r="T47" s="62" t="s">
        <v>24</v>
      </c>
      <c r="U47" s="63">
        <f t="shared" ref="U47:AA47" si="8">SUM(U27:U46)</f>
        <v>0</v>
      </c>
      <c r="V47" s="63">
        <f t="shared" si="8"/>
        <v>0</v>
      </c>
      <c r="W47" s="63">
        <f t="shared" si="8"/>
        <v>0</v>
      </c>
      <c r="X47" s="63">
        <f t="shared" si="8"/>
        <v>0</v>
      </c>
      <c r="Y47" s="63">
        <f t="shared" si="8"/>
        <v>0</v>
      </c>
      <c r="Z47" s="277">
        <f t="shared" si="8"/>
        <v>0</v>
      </c>
      <c r="AA47" s="278">
        <f t="shared" si="8"/>
        <v>0</v>
      </c>
      <c r="AB47" s="277" t="s">
        <v>26</v>
      </c>
      <c r="AC47" s="277">
        <f>SUM(AC27:AC46)</f>
        <v>0</v>
      </c>
      <c r="AD47" s="278">
        <f>SUM(AD27:AD46)</f>
        <v>0</v>
      </c>
      <c r="AE47" s="63">
        <f>SUM(AE27:AE46)</f>
        <v>0</v>
      </c>
      <c r="AF47" s="63">
        <f>SUM(AF27:AF46)</f>
        <v>0</v>
      </c>
      <c r="AG47" s="63" t="s">
        <v>26</v>
      </c>
      <c r="AH47" s="63">
        <f>SUM(AH27:AH46)</f>
        <v>0</v>
      </c>
      <c r="AI47" s="63">
        <f>SUM(AI27:AI46)</f>
        <v>0</v>
      </c>
      <c r="AJ47" s="63"/>
      <c r="AK47" s="64" t="str">
        <f t="shared" si="3"/>
        <v/>
      </c>
    </row>
    <row r="48" spans="1:39" s="67" customFormat="1" ht="24.95" hidden="1" customHeight="1" x14ac:dyDescent="0.15">
      <c r="A48" s="368">
        <v>41</v>
      </c>
      <c r="B48" s="318"/>
      <c r="C48" s="141"/>
      <c r="D48" s="637"/>
      <c r="E48" s="366"/>
      <c r="F48" s="177"/>
      <c r="G48" s="488"/>
      <c r="H48" s="489"/>
      <c r="I48" s="489"/>
      <c r="J48" s="491"/>
      <c r="K48" s="491"/>
      <c r="L48" s="144"/>
      <c r="M48" s="144"/>
      <c r="N48" s="438"/>
      <c r="O48" s="438"/>
      <c r="P48" s="152"/>
      <c r="Q48" s="152"/>
      <c r="R48" s="152"/>
      <c r="S48" s="358"/>
      <c r="T48" s="64" t="s">
        <v>27</v>
      </c>
      <c r="U48" s="64">
        <f>COUNTIF(D48:D67,"전")</f>
        <v>0</v>
      </c>
      <c r="V48" s="65">
        <f>COUNTIF(I48:I67,"전")</f>
        <v>0</v>
      </c>
      <c r="W48" s="64" t="s">
        <v>26</v>
      </c>
      <c r="X48" s="64">
        <f>SUMIF(D48:D67,"전",F48:F67)</f>
        <v>0</v>
      </c>
      <c r="Y48" s="65">
        <f>SUMIF(I48:I67,"전",K48:K67)</f>
        <v>0</v>
      </c>
      <c r="Z48" s="64">
        <f>COUNTIF(AJ48:AJ67,"전국")+COUNTIF(AJ48:AJ67,"전공")</f>
        <v>0</v>
      </c>
      <c r="AA48" s="65">
        <f>COUNTIF(AK48:AK67,"전국")+COUNTIF(AK48:AK67,"전공")</f>
        <v>0</v>
      </c>
      <c r="AB48" s="64" t="s">
        <v>26</v>
      </c>
      <c r="AC48" s="64">
        <f>SUMIF(AJ48:AJ67,"전국",F48:F67)+SUMIF(AJ48:AJ67,"전공",F48:F67)</f>
        <v>0</v>
      </c>
      <c r="AD48" s="65">
        <f>SUMIF(AK48:AK67,"전국",K48:K67)+SUMIF(AK48:AK67,"전공",K48:K67)</f>
        <v>0</v>
      </c>
      <c r="AE48" s="64">
        <f t="shared" ref="AE48:AF64" si="9">U48-Z48</f>
        <v>0</v>
      </c>
      <c r="AF48" s="65">
        <f t="shared" si="9"/>
        <v>0</v>
      </c>
      <c r="AG48" s="64" t="s">
        <v>26</v>
      </c>
      <c r="AH48" s="64">
        <f t="shared" ref="AH48:AI64" si="10">X48-AC48</f>
        <v>0</v>
      </c>
      <c r="AI48" s="65">
        <f t="shared" si="10"/>
        <v>0</v>
      </c>
      <c r="AJ48" s="64" t="str">
        <f t="shared" ref="AJ48:AJ67" si="11">CONCATENATE(D48,L48)</f>
        <v/>
      </c>
      <c r="AK48" s="64" t="str">
        <f t="shared" si="3"/>
        <v/>
      </c>
    </row>
    <row r="49" spans="1:39" s="67" customFormat="1" ht="24.95" hidden="1" customHeight="1" x14ac:dyDescent="0.15">
      <c r="A49" s="348">
        <v>42</v>
      </c>
      <c r="B49" s="222"/>
      <c r="C49" s="133"/>
      <c r="D49" s="133"/>
      <c r="E49" s="177"/>
      <c r="F49" s="177"/>
      <c r="G49" s="417"/>
      <c r="H49" s="492"/>
      <c r="I49" s="492"/>
      <c r="J49" s="493"/>
      <c r="K49" s="493"/>
      <c r="L49" s="128"/>
      <c r="M49" s="128"/>
      <c r="N49" s="425"/>
      <c r="O49" s="425"/>
      <c r="P49" s="102"/>
      <c r="Q49" s="102"/>
      <c r="R49" s="102"/>
      <c r="S49" s="342"/>
      <c r="T49" s="64" t="s">
        <v>28</v>
      </c>
      <c r="U49" s="64">
        <f>COUNTIF(D48:D67,"답")</f>
        <v>0</v>
      </c>
      <c r="V49" s="65">
        <f>COUNTIF(I48:I67,"답")</f>
        <v>0</v>
      </c>
      <c r="W49" s="64" t="s">
        <v>26</v>
      </c>
      <c r="X49" s="64">
        <f>SUMIF(D48:D67,"답",F48:F67)</f>
        <v>0</v>
      </c>
      <c r="Y49" s="65">
        <f>SUMIF(I48:I67,"답",K48:K67)</f>
        <v>0</v>
      </c>
      <c r="Z49" s="64">
        <f>COUNTIF(AJ48:AJ67,"답국")+COUNTIF(AJ48:AJ67,"답공")</f>
        <v>0</v>
      </c>
      <c r="AA49" s="65">
        <f>COUNTIF(AK48:AK67,"답국")+COUNTIF(AK48:AK67,"답공")</f>
        <v>0</v>
      </c>
      <c r="AB49" s="64" t="s">
        <v>26</v>
      </c>
      <c r="AC49" s="64">
        <f>SUMIF(AJ48:AJ67,"답국",F48:F67)+SUMIF(AJ48:AJ67,"답공",F48:F67)</f>
        <v>0</v>
      </c>
      <c r="AD49" s="65">
        <f>SUMIF(AK48:AK67,"답국",K48:K67)+SUMIF(AK48:AK67,"답공",K48:K67)</f>
        <v>0</v>
      </c>
      <c r="AE49" s="64">
        <f t="shared" si="9"/>
        <v>0</v>
      </c>
      <c r="AF49" s="65">
        <f t="shared" si="9"/>
        <v>0</v>
      </c>
      <c r="AG49" s="64" t="s">
        <v>26</v>
      </c>
      <c r="AH49" s="64">
        <f t="shared" si="10"/>
        <v>0</v>
      </c>
      <c r="AI49" s="65">
        <f t="shared" si="10"/>
        <v>0</v>
      </c>
      <c r="AJ49" s="64" t="str">
        <f t="shared" si="11"/>
        <v/>
      </c>
      <c r="AK49" s="64" t="str">
        <f t="shared" si="3"/>
        <v/>
      </c>
    </row>
    <row r="50" spans="1:39" s="67" customFormat="1" ht="24.95" hidden="1" customHeight="1" x14ac:dyDescent="0.15">
      <c r="A50" s="348">
        <v>43</v>
      </c>
      <c r="B50" s="222"/>
      <c r="C50" s="133"/>
      <c r="D50" s="133"/>
      <c r="E50" s="177"/>
      <c r="F50" s="177"/>
      <c r="G50" s="417"/>
      <c r="H50" s="492"/>
      <c r="I50" s="492"/>
      <c r="J50" s="493"/>
      <c r="K50" s="493"/>
      <c r="L50" s="128"/>
      <c r="M50" s="137"/>
      <c r="N50" s="425"/>
      <c r="O50" s="425"/>
      <c r="P50" s="203"/>
      <c r="Q50" s="203"/>
      <c r="R50" s="203"/>
      <c r="S50" s="342"/>
      <c r="T50" s="64" t="s">
        <v>44</v>
      </c>
      <c r="U50" s="64">
        <f>COUNTIF(D48:D67,"임")</f>
        <v>0</v>
      </c>
      <c r="V50" s="65">
        <f>COUNTIF(I48:I67,"임")</f>
        <v>0</v>
      </c>
      <c r="W50" s="64" t="s">
        <v>26</v>
      </c>
      <c r="X50" s="64">
        <f>SUMIF(D48:D67,"임",F48:F67)</f>
        <v>0</v>
      </c>
      <c r="Y50" s="65">
        <f>SUMIF(I48:I67,"임",K48:K67)</f>
        <v>0</v>
      </c>
      <c r="Z50" s="64">
        <f>COUNTIF(AJ48:AJ67,"임국")+COUNTIF(AJ48:AJ67,"임공")</f>
        <v>0</v>
      </c>
      <c r="AA50" s="65">
        <f>COUNTIF(AK48:AK67,"임국")+COUNTIF(AK48:AK67,"임공")</f>
        <v>0</v>
      </c>
      <c r="AB50" s="64" t="s">
        <v>26</v>
      </c>
      <c r="AC50" s="64">
        <f>SUMIF(AJ48:AJ67,"임국",F48:F67)+SUMIF(AJ48:AJ67,"임공",F48:F67)</f>
        <v>0</v>
      </c>
      <c r="AD50" s="65">
        <f>SUMIF(AK48:AK67,"임국",K48:K67)+SUMIF(AK48:AK67,"임공",K48:K67)</f>
        <v>0</v>
      </c>
      <c r="AE50" s="64">
        <f t="shared" si="9"/>
        <v>0</v>
      </c>
      <c r="AF50" s="65">
        <f t="shared" si="9"/>
        <v>0</v>
      </c>
      <c r="AG50" s="64" t="s">
        <v>26</v>
      </c>
      <c r="AH50" s="64">
        <f t="shared" si="10"/>
        <v>0</v>
      </c>
      <c r="AI50" s="65">
        <f t="shared" si="10"/>
        <v>0</v>
      </c>
      <c r="AJ50" s="64" t="str">
        <f t="shared" si="11"/>
        <v/>
      </c>
      <c r="AK50" s="64" t="str">
        <f t="shared" si="3"/>
        <v/>
      </c>
      <c r="AL50" s="66"/>
      <c r="AM50" s="66"/>
    </row>
    <row r="51" spans="1:39" s="67" customFormat="1" ht="24.95" hidden="1" customHeight="1" x14ac:dyDescent="0.15">
      <c r="A51" s="348">
        <v>44</v>
      </c>
      <c r="B51" s="222"/>
      <c r="C51" s="133"/>
      <c r="D51" s="133"/>
      <c r="E51" s="177"/>
      <c r="F51" s="177"/>
      <c r="G51" s="417"/>
      <c r="H51" s="492"/>
      <c r="I51" s="492"/>
      <c r="J51" s="493"/>
      <c r="K51" s="493"/>
      <c r="L51" s="128"/>
      <c r="M51" s="128"/>
      <c r="N51" s="425"/>
      <c r="O51" s="425"/>
      <c r="P51" s="102"/>
      <c r="Q51" s="102"/>
      <c r="R51" s="102"/>
      <c r="S51" s="342"/>
      <c r="T51" s="64" t="s">
        <v>45</v>
      </c>
      <c r="U51" s="64">
        <f>COUNTIF(D48:D67,"대")</f>
        <v>0</v>
      </c>
      <c r="V51" s="65">
        <f>COUNTIF(I48:I67,"대")</f>
        <v>0</v>
      </c>
      <c r="W51" s="64" t="s">
        <v>26</v>
      </c>
      <c r="X51" s="64">
        <f>SUMIF(D48:D67,"대",F48:F67)</f>
        <v>0</v>
      </c>
      <c r="Y51" s="65">
        <f>SUMIF(I48:I67,"대",K48:K67)</f>
        <v>0</v>
      </c>
      <c r="Z51" s="64">
        <f>COUNTIF(AJ48:AJ67,"대국")+COUNTIF(AJ48:AJ67,"대공")</f>
        <v>0</v>
      </c>
      <c r="AA51" s="65">
        <f>COUNTIF(AK48:AK67,"대국")+COUNTIF(AK48:AK67,"대공")</f>
        <v>0</v>
      </c>
      <c r="AB51" s="64" t="s">
        <v>26</v>
      </c>
      <c r="AC51" s="64">
        <f>SUMIF(AJ48:AJ67,"대국",F48:F67)+SUMIF(AJ48:AJ67,"대공",F48:F67)</f>
        <v>0</v>
      </c>
      <c r="AD51" s="65">
        <f>SUMIF(AK48:AK67,"대국",K48:K67)+SUMIF(AK48:AK67,"대공",K48:K67)</f>
        <v>0</v>
      </c>
      <c r="AE51" s="64">
        <f t="shared" si="9"/>
        <v>0</v>
      </c>
      <c r="AF51" s="65">
        <f t="shared" si="9"/>
        <v>0</v>
      </c>
      <c r="AG51" s="64" t="s">
        <v>26</v>
      </c>
      <c r="AH51" s="64">
        <f t="shared" si="10"/>
        <v>0</v>
      </c>
      <c r="AI51" s="65">
        <f t="shared" si="10"/>
        <v>0</v>
      </c>
      <c r="AJ51" s="64" t="str">
        <f t="shared" si="11"/>
        <v/>
      </c>
      <c r="AK51" s="64" t="str">
        <f t="shared" si="3"/>
        <v/>
      </c>
      <c r="AL51" s="66"/>
      <c r="AM51" s="66"/>
    </row>
    <row r="52" spans="1:39" s="67" customFormat="1" ht="24.95" hidden="1" customHeight="1" x14ac:dyDescent="0.15">
      <c r="A52" s="348">
        <v>45</v>
      </c>
      <c r="B52" s="222"/>
      <c r="C52" s="229"/>
      <c r="D52" s="133"/>
      <c r="E52" s="134"/>
      <c r="F52" s="177"/>
      <c r="G52" s="417"/>
      <c r="H52" s="498"/>
      <c r="I52" s="347"/>
      <c r="J52" s="344"/>
      <c r="K52" s="417"/>
      <c r="L52" s="128"/>
      <c r="M52" s="128"/>
      <c r="N52" s="425"/>
      <c r="O52" s="425"/>
      <c r="P52" s="203"/>
      <c r="Q52" s="203"/>
      <c r="R52" s="203"/>
      <c r="S52" s="342"/>
      <c r="T52" s="64" t="s">
        <v>31</v>
      </c>
      <c r="U52" s="64">
        <f>COUNTIF(D48:D67,"도")</f>
        <v>0</v>
      </c>
      <c r="V52" s="65">
        <f>COUNTIF(I48:I67,"도")</f>
        <v>0</v>
      </c>
      <c r="W52" s="64" t="s">
        <v>26</v>
      </c>
      <c r="X52" s="64">
        <f>SUMIF(D48:D67,"도",F48:F67)</f>
        <v>0</v>
      </c>
      <c r="Y52" s="65">
        <f>SUMIF(I48:I67,"도",K48:K67)</f>
        <v>0</v>
      </c>
      <c r="Z52" s="64">
        <f>COUNTIF(AJ48:AJ67,"도국")+COUNTIF(AJ48:AJ67,"도공")</f>
        <v>0</v>
      </c>
      <c r="AA52" s="65">
        <f>COUNTIF(AK48:AK67,"도국")+COUNTIF(AK48:AK67,"도공")</f>
        <v>0</v>
      </c>
      <c r="AB52" s="64" t="s">
        <v>26</v>
      </c>
      <c r="AC52" s="64">
        <f>SUMIF(AJ48:AJ67,"도국",F48:F67)+SUMIF(AJ48:AJ67,"도공",F48:F67)</f>
        <v>0</v>
      </c>
      <c r="AD52" s="65">
        <f>SUMIF(AK48:AK67,"도국",K48:K67)+SUMIF(AK48:AK67,"도공",K48:K67)</f>
        <v>0</v>
      </c>
      <c r="AE52" s="64">
        <f t="shared" si="9"/>
        <v>0</v>
      </c>
      <c r="AF52" s="65">
        <f t="shared" si="9"/>
        <v>0</v>
      </c>
      <c r="AG52" s="64" t="s">
        <v>26</v>
      </c>
      <c r="AH52" s="64">
        <f t="shared" si="10"/>
        <v>0</v>
      </c>
      <c r="AI52" s="65">
        <f t="shared" si="10"/>
        <v>0</v>
      </c>
      <c r="AJ52" s="64" t="str">
        <f t="shared" si="11"/>
        <v/>
      </c>
      <c r="AK52" s="64" t="str">
        <f t="shared" si="3"/>
        <v/>
      </c>
      <c r="AL52" s="66"/>
      <c r="AM52" s="66"/>
    </row>
    <row r="53" spans="1:39" s="67" customFormat="1" ht="24.95" hidden="1" customHeight="1" x14ac:dyDescent="0.15">
      <c r="A53" s="348">
        <v>46</v>
      </c>
      <c r="B53" s="222"/>
      <c r="C53" s="136"/>
      <c r="D53" s="133"/>
      <c r="E53" s="177"/>
      <c r="F53" s="177"/>
      <c r="G53" s="417"/>
      <c r="H53" s="347"/>
      <c r="I53" s="492"/>
      <c r="J53" s="493"/>
      <c r="K53" s="493"/>
      <c r="L53" s="128"/>
      <c r="M53" s="128"/>
      <c r="N53" s="425"/>
      <c r="O53" s="425"/>
      <c r="P53" s="102"/>
      <c r="Q53" s="102"/>
      <c r="R53" s="102"/>
      <c r="S53" s="342"/>
      <c r="T53" s="64" t="s">
        <v>32</v>
      </c>
      <c r="U53" s="68">
        <f>COUNTIF(D48:D67,"천")</f>
        <v>0</v>
      </c>
      <c r="V53" s="69">
        <f>COUNTIF(I48:I67,"천")</f>
        <v>0</v>
      </c>
      <c r="W53" s="64" t="s">
        <v>26</v>
      </c>
      <c r="X53" s="64">
        <f>SUMIF(D48:D67,"천",F48:F67)</f>
        <v>0</v>
      </c>
      <c r="Y53" s="65">
        <f>SUMIF(I48:I67,"천",K48:K67)</f>
        <v>0</v>
      </c>
      <c r="Z53" s="64">
        <f>COUNTIF(AJ48:AJ67,"천국")+COUNTIF(AJ48:AJ67,"천공")</f>
        <v>0</v>
      </c>
      <c r="AA53" s="65">
        <f>COUNTIF(AK48:AK67,"천국")+COUNTIF(AK48:AK67,"천공")</f>
        <v>0</v>
      </c>
      <c r="AB53" s="64" t="s">
        <v>26</v>
      </c>
      <c r="AC53" s="64">
        <f>SUMIF(AJ48:AJ67,"천국",F48:F67)+SUMIF(AJ48:AJ67,"천공",F48:F67)</f>
        <v>0</v>
      </c>
      <c r="AD53" s="65">
        <f>SUMIF(AK48:AK67,"천국",K48:K67)+SUMIF(AK48:AK67,"천공",K48:K67)</f>
        <v>0</v>
      </c>
      <c r="AE53" s="64">
        <f t="shared" si="9"/>
        <v>0</v>
      </c>
      <c r="AF53" s="65">
        <f t="shared" si="9"/>
        <v>0</v>
      </c>
      <c r="AG53" s="64" t="s">
        <v>26</v>
      </c>
      <c r="AH53" s="64">
        <f t="shared" si="10"/>
        <v>0</v>
      </c>
      <c r="AI53" s="65">
        <f t="shared" si="10"/>
        <v>0</v>
      </c>
      <c r="AJ53" s="64" t="str">
        <f t="shared" si="11"/>
        <v/>
      </c>
      <c r="AK53" s="64" t="str">
        <f t="shared" si="3"/>
        <v/>
      </c>
      <c r="AL53" s="66"/>
      <c r="AM53" s="66"/>
    </row>
    <row r="54" spans="1:39" s="67" customFormat="1" ht="24.95" hidden="1" customHeight="1" x14ac:dyDescent="0.15">
      <c r="A54" s="160">
        <v>47</v>
      </c>
      <c r="B54" s="222"/>
      <c r="C54" s="229"/>
      <c r="D54" s="136"/>
      <c r="E54" s="134"/>
      <c r="F54" s="357"/>
      <c r="G54" s="417"/>
      <c r="H54" s="498"/>
      <c r="I54" s="347"/>
      <c r="J54" s="344"/>
      <c r="K54" s="417"/>
      <c r="L54" s="128"/>
      <c r="M54" s="128"/>
      <c r="N54" s="425"/>
      <c r="O54" s="425"/>
      <c r="P54" s="203"/>
      <c r="Q54" s="203"/>
      <c r="R54" s="203"/>
      <c r="S54" s="342"/>
      <c r="T54" s="64" t="s">
        <v>33</v>
      </c>
      <c r="U54" s="64">
        <f>COUNTIF(D48:D67,"구")</f>
        <v>0</v>
      </c>
      <c r="V54" s="65">
        <f>COUNTIF(I48:I67,"구")</f>
        <v>0</v>
      </c>
      <c r="W54" s="64" t="s">
        <v>26</v>
      </c>
      <c r="X54" s="64">
        <f>SUMIF(D48:D67,"구",F48:F67)</f>
        <v>0</v>
      </c>
      <c r="Y54" s="65">
        <f>SUMIF(I48:I67,"구",K48:K67)</f>
        <v>0</v>
      </c>
      <c r="Z54" s="64">
        <f>COUNTIF(AJ48:AJ67,"구국")+COUNTIF(AJ48:AJ67,"구공")</f>
        <v>0</v>
      </c>
      <c r="AA54" s="65">
        <f>COUNTIF(AK48:AK67,"구국")+COUNTIF(AK48:AK67,"구공")</f>
        <v>0</v>
      </c>
      <c r="AB54" s="64" t="s">
        <v>26</v>
      </c>
      <c r="AC54" s="64">
        <f>SUMIF(AJ48:AJ67,"구국",F48:F67)+SUMIF(AJ48:AJ67,"구공",F48:F67)</f>
        <v>0</v>
      </c>
      <c r="AD54" s="65">
        <f>SUMIF(AK48:AK67,"구국",K48:K67)+SUMIF(AK48:AK67,"구공",K48:K67)</f>
        <v>0</v>
      </c>
      <c r="AE54" s="64">
        <f t="shared" si="9"/>
        <v>0</v>
      </c>
      <c r="AF54" s="65">
        <f t="shared" si="9"/>
        <v>0</v>
      </c>
      <c r="AG54" s="64" t="s">
        <v>26</v>
      </c>
      <c r="AH54" s="64">
        <f t="shared" si="10"/>
        <v>0</v>
      </c>
      <c r="AI54" s="65">
        <f t="shared" si="10"/>
        <v>0</v>
      </c>
      <c r="AJ54" s="64" t="str">
        <f t="shared" si="11"/>
        <v/>
      </c>
      <c r="AK54" s="64" t="str">
        <f t="shared" si="3"/>
        <v/>
      </c>
      <c r="AL54" s="66"/>
      <c r="AM54" s="66"/>
    </row>
    <row r="55" spans="1:39" s="67" customFormat="1" ht="24.95" hidden="1" customHeight="1" x14ac:dyDescent="0.15">
      <c r="A55" s="160">
        <v>48</v>
      </c>
      <c r="B55" s="222"/>
      <c r="C55" s="133"/>
      <c r="D55" s="133"/>
      <c r="E55" s="177"/>
      <c r="F55" s="177"/>
      <c r="G55" s="417"/>
      <c r="H55" s="492"/>
      <c r="I55" s="492"/>
      <c r="J55" s="493"/>
      <c r="K55" s="493"/>
      <c r="L55" s="128"/>
      <c r="M55" s="128"/>
      <c r="N55" s="425"/>
      <c r="O55" s="425"/>
      <c r="P55" s="203"/>
      <c r="Q55" s="203"/>
      <c r="R55" s="203"/>
      <c r="S55" s="342"/>
      <c r="T55" s="64" t="s">
        <v>34</v>
      </c>
      <c r="U55" s="64">
        <f>COUNTIF(D48:D67,"제")</f>
        <v>0</v>
      </c>
      <c r="V55" s="65">
        <f>COUNTIF(I48:I67,"제")</f>
        <v>0</v>
      </c>
      <c r="W55" s="64" t="s">
        <v>26</v>
      </c>
      <c r="X55" s="64">
        <f>SUMIF(D48:D67,"제",F48:F67)</f>
        <v>0</v>
      </c>
      <c r="Y55" s="65">
        <f>SUMIF(I48:I67,"제",K48:K67)</f>
        <v>0</v>
      </c>
      <c r="Z55" s="64">
        <f>COUNTIF(AJ48:AJ67,"제국")+COUNTIF(AJ48:AJ67,"제공")</f>
        <v>0</v>
      </c>
      <c r="AA55" s="65">
        <f>COUNTIF(AK48:AK67,"제국")+COUNTIF(AK48:AK67,"제공")</f>
        <v>0</v>
      </c>
      <c r="AB55" s="64" t="s">
        <v>26</v>
      </c>
      <c r="AC55" s="64">
        <f>SUMIF(AJ48:AJ67,"제국",F48:F67)+SUMIF(AJ48:AJ67,"제공",F48:F67)</f>
        <v>0</v>
      </c>
      <c r="AD55" s="65">
        <f>SUMIF(AK48:AK67,"제국",K48:K67)+SUMIF(AK48:AK67,"제공",K48:K67)</f>
        <v>0</v>
      </c>
      <c r="AE55" s="64">
        <f t="shared" si="9"/>
        <v>0</v>
      </c>
      <c r="AF55" s="65">
        <f t="shared" si="9"/>
        <v>0</v>
      </c>
      <c r="AG55" s="64" t="s">
        <v>26</v>
      </c>
      <c r="AH55" s="64">
        <f t="shared" si="10"/>
        <v>0</v>
      </c>
      <c r="AI55" s="65">
        <f t="shared" si="10"/>
        <v>0</v>
      </c>
      <c r="AJ55" s="64" t="str">
        <f t="shared" si="11"/>
        <v/>
      </c>
      <c r="AK55" s="64" t="str">
        <f t="shared" si="3"/>
        <v/>
      </c>
      <c r="AL55" s="66"/>
      <c r="AM55" s="66"/>
    </row>
    <row r="56" spans="1:39" s="67" customFormat="1" ht="24.95" hidden="1" customHeight="1" x14ac:dyDescent="0.15">
      <c r="A56" s="160">
        <v>49</v>
      </c>
      <c r="B56" s="222"/>
      <c r="C56" s="622"/>
      <c r="D56" s="136"/>
      <c r="E56" s="192"/>
      <c r="F56" s="177"/>
      <c r="G56" s="600"/>
      <c r="H56" s="598"/>
      <c r="I56" s="612"/>
      <c r="J56" s="616"/>
      <c r="K56" s="600"/>
      <c r="L56" s="193"/>
      <c r="M56" s="193"/>
      <c r="N56" s="440"/>
      <c r="O56" s="440"/>
      <c r="P56" s="207"/>
      <c r="Q56" s="207"/>
      <c r="R56" s="207"/>
      <c r="S56" s="342"/>
      <c r="T56" s="64" t="s">
        <v>46</v>
      </c>
      <c r="U56" s="64">
        <f>COUNTIF(D48:D67,"유")</f>
        <v>0</v>
      </c>
      <c r="V56" s="65">
        <f>COUNTIF(I48:I67,"유")</f>
        <v>0</v>
      </c>
      <c r="W56" s="64" t="s">
        <v>26</v>
      </c>
      <c r="X56" s="64">
        <f>SUMIF(D48:D67,"유",F48:F67)</f>
        <v>0</v>
      </c>
      <c r="Y56" s="65">
        <f>SUMIF(I48:I67,"유",K48:K67)</f>
        <v>0</v>
      </c>
      <c r="Z56" s="64">
        <f>COUNTIF(AJ48:AJ67,"유국")+COUNTIF(AJ48:AJ67,"유공")</f>
        <v>0</v>
      </c>
      <c r="AA56" s="65">
        <f>COUNTIF(AK48:AK67,"유국")+COUNTIF(AK48:AK67,"유공")</f>
        <v>0</v>
      </c>
      <c r="AB56" s="64" t="s">
        <v>26</v>
      </c>
      <c r="AC56" s="64">
        <f>SUMIF(AJ48:AJ67,"유국",F48:F67)+SUMIF(AJ48:AJ67,"유공",F48:F67)</f>
        <v>0</v>
      </c>
      <c r="AD56" s="65">
        <f>SUMIF(AK48:AK67,"유국",K48:K67)+SUMIF(AK48:AK67,"유공",K48:K67)</f>
        <v>0</v>
      </c>
      <c r="AE56" s="64">
        <f t="shared" si="9"/>
        <v>0</v>
      </c>
      <c r="AF56" s="65">
        <f t="shared" si="9"/>
        <v>0</v>
      </c>
      <c r="AG56" s="64" t="s">
        <v>26</v>
      </c>
      <c r="AH56" s="64">
        <f t="shared" si="10"/>
        <v>0</v>
      </c>
      <c r="AI56" s="65">
        <f t="shared" si="10"/>
        <v>0</v>
      </c>
      <c r="AJ56" s="64" t="str">
        <f t="shared" si="11"/>
        <v/>
      </c>
      <c r="AK56" s="64" t="str">
        <f t="shared" si="3"/>
        <v/>
      </c>
      <c r="AL56" s="66"/>
      <c r="AM56" s="66"/>
    </row>
    <row r="57" spans="1:39" s="67" customFormat="1" ht="24.95" hidden="1" customHeight="1" x14ac:dyDescent="0.15">
      <c r="A57" s="160">
        <v>50</v>
      </c>
      <c r="B57" s="222"/>
      <c r="C57" s="229"/>
      <c r="D57" s="133"/>
      <c r="E57" s="134"/>
      <c r="F57" s="177"/>
      <c r="G57" s="417"/>
      <c r="H57" s="498"/>
      <c r="I57" s="347"/>
      <c r="J57" s="344"/>
      <c r="K57" s="417"/>
      <c r="L57" s="203"/>
      <c r="M57" s="128"/>
      <c r="N57" s="359"/>
      <c r="O57" s="425"/>
      <c r="P57" s="203"/>
      <c r="Q57" s="203"/>
      <c r="R57" s="203"/>
      <c r="S57" s="342"/>
      <c r="T57" s="64" t="s">
        <v>47</v>
      </c>
      <c r="U57" s="64">
        <f>COUNTIF(D48:D67,"과")</f>
        <v>0</v>
      </c>
      <c r="V57" s="65">
        <f>COUNTIF(I48:I67,"과")</f>
        <v>0</v>
      </c>
      <c r="W57" s="64" t="s">
        <v>26</v>
      </c>
      <c r="X57" s="64">
        <f>SUMIF(D48:D67,"과",F48:F67)</f>
        <v>0</v>
      </c>
      <c r="Y57" s="65">
        <f>SUMIF(I48:I67,"과",K48:K67)</f>
        <v>0</v>
      </c>
      <c r="Z57" s="64">
        <f>COUNTIF(AJ48:AJ67,"과국")+COUNTIF(AJ48:AJ67,"과공")</f>
        <v>0</v>
      </c>
      <c r="AA57" s="65">
        <f>COUNTIF(AK48:AK67,"과국")+COUNTIF(AK48:AK67,"과공")</f>
        <v>0</v>
      </c>
      <c r="AB57" s="64" t="s">
        <v>26</v>
      </c>
      <c r="AC57" s="64">
        <f>SUMIF(AJ48:AJ67,"과국",F48:F67)+SUMIF(AJ48:AJ67,"과공",F48:F67)</f>
        <v>0</v>
      </c>
      <c r="AD57" s="65">
        <f>SUMIF(AK48:AK67,"과국",K48:K67)+SUMIF(AK48:AK67,"과공",K48:K67)</f>
        <v>0</v>
      </c>
      <c r="AE57" s="64">
        <f t="shared" si="9"/>
        <v>0</v>
      </c>
      <c r="AF57" s="65">
        <f t="shared" si="9"/>
        <v>0</v>
      </c>
      <c r="AG57" s="64" t="s">
        <v>26</v>
      </c>
      <c r="AH57" s="64">
        <f t="shared" si="10"/>
        <v>0</v>
      </c>
      <c r="AI57" s="65">
        <f t="shared" si="10"/>
        <v>0</v>
      </c>
      <c r="AJ57" s="64" t="str">
        <f t="shared" si="11"/>
        <v/>
      </c>
      <c r="AK57" s="64" t="str">
        <f t="shared" si="3"/>
        <v/>
      </c>
      <c r="AL57" s="66"/>
      <c r="AM57" s="66"/>
    </row>
    <row r="58" spans="1:39" s="67" customFormat="1" ht="24.95" hidden="1" customHeight="1" x14ac:dyDescent="0.15">
      <c r="A58" s="160">
        <v>51</v>
      </c>
      <c r="B58" s="222"/>
      <c r="C58" s="133"/>
      <c r="D58" s="133"/>
      <c r="E58" s="177"/>
      <c r="F58" s="177"/>
      <c r="G58" s="417"/>
      <c r="H58" s="492"/>
      <c r="I58" s="492"/>
      <c r="J58" s="493"/>
      <c r="K58" s="493"/>
      <c r="L58" s="203"/>
      <c r="M58" s="128"/>
      <c r="N58" s="359"/>
      <c r="O58" s="425"/>
      <c r="P58" s="102"/>
      <c r="Q58" s="102"/>
      <c r="R58" s="102"/>
      <c r="S58" s="342"/>
      <c r="T58" s="64" t="s">
        <v>36</v>
      </c>
      <c r="U58" s="64">
        <f>COUNTIF(D48:D67,"묘")</f>
        <v>0</v>
      </c>
      <c r="V58" s="65">
        <f>COUNTIF(I48:I67,"묘")</f>
        <v>0</v>
      </c>
      <c r="W58" s="64" t="s">
        <v>26</v>
      </c>
      <c r="X58" s="64">
        <f>SUMIF(D48:D67,"묘",F48:F67)</f>
        <v>0</v>
      </c>
      <c r="Y58" s="65">
        <f>SUMIF(I48:I67,"묘",K48:K67)</f>
        <v>0</v>
      </c>
      <c r="Z58" s="64">
        <f>COUNTIF(AJ48:AJ67,"묘국")+COUNTIF(AJ48:AJ67,"묘공")</f>
        <v>0</v>
      </c>
      <c r="AA58" s="65">
        <f>COUNTIF(AK48:AK67,"묘국")+COUNTIF(AK48:AK67,"묘공")</f>
        <v>0</v>
      </c>
      <c r="AB58" s="64" t="s">
        <v>26</v>
      </c>
      <c r="AC58" s="64">
        <f>SUMIF(AJ48:AJ67,"묘국",F48:F67)+SUMIF(AJ48:AJ67,"묘공",F48:F67)</f>
        <v>0</v>
      </c>
      <c r="AD58" s="65">
        <f>SUMIF(AK48:AK67,"묘국",K48:K67)+SUMIF(AK48:AK67,"묘공",K48:K67)</f>
        <v>0</v>
      </c>
      <c r="AE58" s="64">
        <f t="shared" si="9"/>
        <v>0</v>
      </c>
      <c r="AF58" s="65">
        <f t="shared" si="9"/>
        <v>0</v>
      </c>
      <c r="AG58" s="64" t="s">
        <v>26</v>
      </c>
      <c r="AH58" s="64">
        <f t="shared" si="10"/>
        <v>0</v>
      </c>
      <c r="AI58" s="65">
        <f t="shared" si="10"/>
        <v>0</v>
      </c>
      <c r="AJ58" s="64" t="str">
        <f t="shared" si="11"/>
        <v/>
      </c>
      <c r="AK58" s="64" t="str">
        <f t="shared" si="3"/>
        <v/>
      </c>
      <c r="AL58" s="66"/>
      <c r="AM58" s="66"/>
    </row>
    <row r="59" spans="1:39" s="67" customFormat="1" ht="24.95" hidden="1" customHeight="1" x14ac:dyDescent="0.15">
      <c r="A59" s="160">
        <v>52</v>
      </c>
      <c r="B59" s="222"/>
      <c r="C59" s="133"/>
      <c r="D59" s="133"/>
      <c r="E59" s="177"/>
      <c r="F59" s="177"/>
      <c r="G59" s="417"/>
      <c r="H59" s="492"/>
      <c r="I59" s="492"/>
      <c r="J59" s="493"/>
      <c r="K59" s="493"/>
      <c r="L59" s="203"/>
      <c r="M59" s="137"/>
      <c r="N59" s="359"/>
      <c r="O59" s="441"/>
      <c r="P59" s="102"/>
      <c r="Q59" s="102"/>
      <c r="R59" s="102"/>
      <c r="S59" s="342"/>
      <c r="T59" s="64" t="s">
        <v>39</v>
      </c>
      <c r="U59" s="64">
        <f>COUNTIF(D48:D67,"수")</f>
        <v>0</v>
      </c>
      <c r="V59" s="65">
        <f>COUNTIF(I48:I67,"수")</f>
        <v>0</v>
      </c>
      <c r="W59" s="64" t="s">
        <v>26</v>
      </c>
      <c r="X59" s="64">
        <f>SUMIF(D48:D67,"수",F48:F67)</f>
        <v>0</v>
      </c>
      <c r="Y59" s="65">
        <f>SUMIF(I48:I67,"수",K48:K67)</f>
        <v>0</v>
      </c>
      <c r="Z59" s="64">
        <f>COUNTIF(AJ48:AJ67,"수국")+COUNTIF(AJ48:AJ67,"수공")</f>
        <v>0</v>
      </c>
      <c r="AA59" s="65">
        <f>COUNTIF(AK48:AK67,"수국")+COUNTIF(AK48:AK67,"수공")</f>
        <v>0</v>
      </c>
      <c r="AB59" s="64" t="s">
        <v>26</v>
      </c>
      <c r="AC59" s="64">
        <f>SUMIF(AJ48:AJ67,"수국",F48:F67)+SUMIF(AJ48:AJ67,"수공",F48:F67)</f>
        <v>0</v>
      </c>
      <c r="AD59" s="65">
        <f>SUMIF(AK48:AK67,"수국",K48:K67)+SUMIF(AK48:AK67,"수공",K48:K67)</f>
        <v>0</v>
      </c>
      <c r="AE59" s="64">
        <f t="shared" si="9"/>
        <v>0</v>
      </c>
      <c r="AF59" s="65">
        <f t="shared" si="9"/>
        <v>0</v>
      </c>
      <c r="AG59" s="64" t="s">
        <v>26</v>
      </c>
      <c r="AH59" s="64">
        <f t="shared" si="10"/>
        <v>0</v>
      </c>
      <c r="AI59" s="65">
        <f t="shared" si="10"/>
        <v>0</v>
      </c>
      <c r="AJ59" s="64" t="str">
        <f t="shared" si="11"/>
        <v/>
      </c>
      <c r="AK59" s="64" t="str">
        <f t="shared" si="3"/>
        <v/>
      </c>
      <c r="AL59" s="66"/>
      <c r="AM59" s="66"/>
    </row>
    <row r="60" spans="1:39" s="67" customFormat="1" ht="24.95" hidden="1" customHeight="1" x14ac:dyDescent="0.15">
      <c r="A60" s="348">
        <v>53</v>
      </c>
      <c r="B60" s="222"/>
      <c r="C60" s="133"/>
      <c r="D60" s="133"/>
      <c r="E60" s="177"/>
      <c r="F60" s="177"/>
      <c r="G60" s="417"/>
      <c r="H60" s="492"/>
      <c r="I60" s="492"/>
      <c r="J60" s="493"/>
      <c r="K60" s="493"/>
      <c r="L60" s="203"/>
      <c r="M60" s="137"/>
      <c r="N60" s="359"/>
      <c r="O60" s="441"/>
      <c r="P60" s="203"/>
      <c r="Q60" s="203"/>
      <c r="R60" s="203"/>
      <c r="S60" s="342"/>
      <c r="T60" s="64" t="s">
        <v>35</v>
      </c>
      <c r="U60" s="64">
        <f>COUNTIF(D48:D67,"잡")</f>
        <v>0</v>
      </c>
      <c r="V60" s="65">
        <f>COUNTIF(I48:I67,"잡")</f>
        <v>0</v>
      </c>
      <c r="W60" s="64" t="s">
        <v>26</v>
      </c>
      <c r="X60" s="64">
        <f>SUMIF(D48:D67,"잡",F48:F67)</f>
        <v>0</v>
      </c>
      <c r="Y60" s="65">
        <f>SUMIF(I48:I67,"잡",K48:K67)</f>
        <v>0</v>
      </c>
      <c r="Z60" s="64">
        <f>COUNTIF(AJ48:AJ67,"잡국")+COUNTIF(AJ48:AJ67,"잡공")</f>
        <v>0</v>
      </c>
      <c r="AA60" s="65">
        <f>COUNTIF(AK48:AK67,"잡국")+COUNTIF(AK48:AK67,"잡공")</f>
        <v>0</v>
      </c>
      <c r="AB60" s="64" t="s">
        <v>26</v>
      </c>
      <c r="AC60" s="64">
        <f>SUMIF(AJ48:AJ67,"잡국",F48:F67)+SUMIF(AJ48:AJ67,"잡공",F48:F67)</f>
        <v>0</v>
      </c>
      <c r="AD60" s="65">
        <f>SUMIF(AK48:AK67,"잡국",K48:K67)+SUMIF(AK48:AK67,"잡공",K48:K67)</f>
        <v>0</v>
      </c>
      <c r="AE60" s="64">
        <f t="shared" si="9"/>
        <v>0</v>
      </c>
      <c r="AF60" s="65">
        <f t="shared" si="9"/>
        <v>0</v>
      </c>
      <c r="AG60" s="64" t="s">
        <v>26</v>
      </c>
      <c r="AH60" s="64">
        <f t="shared" si="10"/>
        <v>0</v>
      </c>
      <c r="AI60" s="65">
        <f t="shared" si="10"/>
        <v>0</v>
      </c>
      <c r="AJ60" s="64" t="str">
        <f t="shared" si="11"/>
        <v/>
      </c>
      <c r="AK60" s="64" t="str">
        <f t="shared" si="3"/>
        <v/>
      </c>
      <c r="AL60" s="66"/>
      <c r="AM60" s="66"/>
    </row>
    <row r="61" spans="1:39" s="67" customFormat="1" ht="24.95" hidden="1" customHeight="1" x14ac:dyDescent="0.15">
      <c r="A61" s="348">
        <v>54</v>
      </c>
      <c r="B61" s="222"/>
      <c r="C61" s="133"/>
      <c r="D61" s="133"/>
      <c r="E61" s="177"/>
      <c r="F61" s="177"/>
      <c r="G61" s="417"/>
      <c r="H61" s="492"/>
      <c r="I61" s="492"/>
      <c r="J61" s="493"/>
      <c r="K61" s="493"/>
      <c r="L61" s="203"/>
      <c r="M61" s="128"/>
      <c r="N61" s="359"/>
      <c r="O61" s="425"/>
      <c r="P61" s="203"/>
      <c r="Q61" s="203"/>
      <c r="R61" s="203"/>
      <c r="S61" s="345"/>
      <c r="T61" s="64" t="s">
        <v>51</v>
      </c>
      <c r="U61" s="64">
        <f>COUNTIF(D48:D67,"체")</f>
        <v>0</v>
      </c>
      <c r="V61" s="65">
        <f>COUNTIF(I48:I67,"체")</f>
        <v>0</v>
      </c>
      <c r="W61" s="64" t="s">
        <v>26</v>
      </c>
      <c r="X61" s="64">
        <f>SUMIF(D48:D67,"체",F48:F67)</f>
        <v>0</v>
      </c>
      <c r="Y61" s="65">
        <f>SUMIF(I48:I67,"체",K48:K67)</f>
        <v>0</v>
      </c>
      <c r="Z61" s="64">
        <f>COUNTIF(AJ48:AJ67,"체국")+COUNTIF(AJ48:AJ67,"체공")</f>
        <v>0</v>
      </c>
      <c r="AA61" s="65">
        <f>COUNTIF(AK48:AK67,"체국")+COUNTIF(AK48:AK67,"체공")</f>
        <v>0</v>
      </c>
      <c r="AB61" s="64" t="s">
        <v>26</v>
      </c>
      <c r="AC61" s="64">
        <f>SUMIF(AJ48:AJ67,"체국",F48:F67)+SUMIF(AJ48:AJ67,"체공",F48:F67)</f>
        <v>0</v>
      </c>
      <c r="AD61" s="65">
        <f>SUMIF(AK48:AK67,"체국",K48:K67)+SUMIF(AK48:AK67,"체공",K48:K67)</f>
        <v>0</v>
      </c>
      <c r="AE61" s="64">
        <f t="shared" si="9"/>
        <v>0</v>
      </c>
      <c r="AF61" s="65">
        <f t="shared" si="9"/>
        <v>0</v>
      </c>
      <c r="AG61" s="64" t="s">
        <v>26</v>
      </c>
      <c r="AH61" s="64">
        <f t="shared" si="10"/>
        <v>0</v>
      </c>
      <c r="AI61" s="65">
        <f t="shared" si="10"/>
        <v>0</v>
      </c>
      <c r="AJ61" s="64" t="str">
        <f t="shared" si="11"/>
        <v/>
      </c>
      <c r="AK61" s="64" t="str">
        <f t="shared" si="3"/>
        <v/>
      </c>
      <c r="AL61" s="66"/>
      <c r="AM61" s="66"/>
    </row>
    <row r="62" spans="1:39" s="67" customFormat="1" ht="24.95" hidden="1" customHeight="1" x14ac:dyDescent="0.15">
      <c r="A62" s="348">
        <v>55</v>
      </c>
      <c r="B62" s="222"/>
      <c r="C62" s="133"/>
      <c r="D62" s="133"/>
      <c r="E62" s="177"/>
      <c r="F62" s="177"/>
      <c r="G62" s="417"/>
      <c r="H62" s="492"/>
      <c r="I62" s="492"/>
      <c r="J62" s="493"/>
      <c r="K62" s="493"/>
      <c r="L62" s="203"/>
      <c r="M62" s="128"/>
      <c r="N62" s="359"/>
      <c r="O62" s="425"/>
      <c r="P62" s="102"/>
      <c r="Q62" s="102"/>
      <c r="R62" s="102"/>
      <c r="S62" s="345"/>
      <c r="T62" s="64" t="s">
        <v>50</v>
      </c>
      <c r="U62" s="64">
        <f>COUNTIF(D48:D67,"공")</f>
        <v>0</v>
      </c>
      <c r="V62" s="65">
        <f>COUNTIF(I48:I67,"공")</f>
        <v>0</v>
      </c>
      <c r="W62" s="64" t="s">
        <v>26</v>
      </c>
      <c r="X62" s="64">
        <f>SUMIF(D48:D67,"공",F48:F67)</f>
        <v>0</v>
      </c>
      <c r="Y62" s="65">
        <f>SUMIF(I48:I67,"공",K48:K67)</f>
        <v>0</v>
      </c>
      <c r="Z62" s="64">
        <f>COUNTIF(AJ48:AJ67,"공국")+COUNTIF(AJ48:AJ67,"공공")</f>
        <v>0</v>
      </c>
      <c r="AA62" s="65">
        <f>COUNTIF(AK48:AK67,"공국")+COUNTIF(AK48:AK67,"공공")</f>
        <v>0</v>
      </c>
      <c r="AB62" s="64" t="s">
        <v>26</v>
      </c>
      <c r="AC62" s="64">
        <f>SUMIF(AJ48:AJ67,"공국",F48:F67)+SUMIF(AJ48:AJ67,"공공",F48:F67)</f>
        <v>0</v>
      </c>
      <c r="AD62" s="65">
        <f>SUMIF(AK48:AK67,"공국",K48:K67)+SUMIF(AK48:AK67,"공공",K48:K67)</f>
        <v>0</v>
      </c>
      <c r="AE62" s="64">
        <f t="shared" si="9"/>
        <v>0</v>
      </c>
      <c r="AF62" s="65">
        <f t="shared" si="9"/>
        <v>0</v>
      </c>
      <c r="AG62" s="64" t="s">
        <v>26</v>
      </c>
      <c r="AH62" s="64">
        <f t="shared" si="10"/>
        <v>0</v>
      </c>
      <c r="AI62" s="65">
        <f t="shared" si="10"/>
        <v>0</v>
      </c>
      <c r="AJ62" s="64" t="str">
        <f t="shared" si="11"/>
        <v/>
      </c>
      <c r="AK62" s="64" t="str">
        <f t="shared" si="3"/>
        <v/>
      </c>
      <c r="AL62" s="66"/>
      <c r="AM62" s="66"/>
    </row>
    <row r="63" spans="1:39" s="67" customFormat="1" ht="24.95" hidden="1" customHeight="1" x14ac:dyDescent="0.15">
      <c r="A63" s="348">
        <v>56</v>
      </c>
      <c r="B63" s="222"/>
      <c r="C63" s="133"/>
      <c r="D63" s="133"/>
      <c r="E63" s="177"/>
      <c r="F63" s="177"/>
      <c r="G63" s="417"/>
      <c r="H63" s="492"/>
      <c r="I63" s="492"/>
      <c r="J63" s="493"/>
      <c r="K63" s="493"/>
      <c r="L63" s="203"/>
      <c r="M63" s="128"/>
      <c r="N63" s="359"/>
      <c r="O63" s="425"/>
      <c r="P63" s="203"/>
      <c r="Q63" s="203"/>
      <c r="R63" s="203"/>
      <c r="S63" s="342"/>
      <c r="T63" s="70" t="s">
        <v>40</v>
      </c>
      <c r="U63" s="64">
        <f>COUNTIF(D48:D67,"장")</f>
        <v>0</v>
      </c>
      <c r="V63" s="65">
        <f>COUNTIF(I48:I67,"장")</f>
        <v>0</v>
      </c>
      <c r="W63" s="64" t="s">
        <v>26</v>
      </c>
      <c r="X63" s="64">
        <f>SUMIF(D48:D67,"장",F48:F67)</f>
        <v>0</v>
      </c>
      <c r="Y63" s="65">
        <f>SUMIF(I48:I67,"장",K48:K67)</f>
        <v>0</v>
      </c>
      <c r="Z63" s="64">
        <f>COUNTIF(AJ48:AJ67,"장국")+COUNTIF(AJ48:AJ67,"장공")</f>
        <v>0</v>
      </c>
      <c r="AA63" s="65">
        <f>COUNTIF(AK48:AK67,"장국")+COUNTIF(AK48:AK67,"장공")</f>
        <v>0</v>
      </c>
      <c r="AB63" s="64" t="s">
        <v>26</v>
      </c>
      <c r="AC63" s="64">
        <f>SUMIF(AJ48:AJ67,"장국",F48:F67)+SUMIF(AJ48:AJ67,"장공",F48:F67)</f>
        <v>0</v>
      </c>
      <c r="AD63" s="65">
        <f>SUMIF(AK48:AK67,"장국",K48:K67)+SUMIF(AK48:AK67,"장공",K48:K67)</f>
        <v>0</v>
      </c>
      <c r="AE63" s="64">
        <f t="shared" si="9"/>
        <v>0</v>
      </c>
      <c r="AF63" s="65">
        <f t="shared" si="9"/>
        <v>0</v>
      </c>
      <c r="AG63" s="64" t="s">
        <v>26</v>
      </c>
      <c r="AH63" s="64">
        <f t="shared" si="10"/>
        <v>0</v>
      </c>
      <c r="AI63" s="65">
        <f t="shared" si="10"/>
        <v>0</v>
      </c>
      <c r="AJ63" s="64" t="str">
        <f t="shared" si="11"/>
        <v/>
      </c>
      <c r="AK63" s="64" t="str">
        <f t="shared" si="3"/>
        <v/>
      </c>
      <c r="AL63" s="66"/>
      <c r="AM63" s="66"/>
    </row>
    <row r="64" spans="1:39" s="67" customFormat="1" ht="24.95" hidden="1" customHeight="1" x14ac:dyDescent="0.15">
      <c r="A64" s="348">
        <v>57</v>
      </c>
      <c r="B64" s="222"/>
      <c r="C64" s="133"/>
      <c r="D64" s="133"/>
      <c r="E64" s="177"/>
      <c r="F64" s="177"/>
      <c r="G64" s="417"/>
      <c r="H64" s="492"/>
      <c r="I64" s="492"/>
      <c r="J64" s="493"/>
      <c r="K64" s="493"/>
      <c r="L64" s="128"/>
      <c r="M64" s="128"/>
      <c r="N64" s="425"/>
      <c r="O64" s="425"/>
      <c r="P64" s="203"/>
      <c r="Q64" s="203"/>
      <c r="R64" s="203"/>
      <c r="S64" s="345"/>
      <c r="T64" s="70" t="s">
        <v>5</v>
      </c>
      <c r="U64" s="64">
        <f>COUNTIF(D48:D67,"목")</f>
        <v>0</v>
      </c>
      <c r="V64" s="65">
        <f>COUNTIF(I48:I67,"목")</f>
        <v>0</v>
      </c>
      <c r="W64" s="64" t="s">
        <v>26</v>
      </c>
      <c r="X64" s="64">
        <f>SUMIF(D48:D67,"목",F48:F67)</f>
        <v>0</v>
      </c>
      <c r="Y64" s="65">
        <f>SUMIF(I48:I67,"목",K48:K67)</f>
        <v>0</v>
      </c>
      <c r="Z64" s="64">
        <f>COUNTIF(AJ48:AJ67,"목국")+COUNTIF(AJ48:AJ67,"목공")</f>
        <v>0</v>
      </c>
      <c r="AA64" s="65">
        <f>COUNTIF(AK48:AK67,"목국")+COUNTIF(AK48:AK67,"목공")</f>
        <v>0</v>
      </c>
      <c r="AB64" s="64" t="s">
        <v>26</v>
      </c>
      <c r="AC64" s="64">
        <f>SUMIF(AJ48:AJ67,"목국",F48:F67)+SUMIF(AJ48:AJ67,"목공",F48:F67)</f>
        <v>0</v>
      </c>
      <c r="AD64" s="65">
        <f>SUMIF(AK48:AK67,"목국",K48:K67)+SUMIF(AK48:AK67,"목공",K48:K67)</f>
        <v>0</v>
      </c>
      <c r="AE64" s="64">
        <f t="shared" si="9"/>
        <v>0</v>
      </c>
      <c r="AF64" s="65">
        <f t="shared" si="9"/>
        <v>0</v>
      </c>
      <c r="AG64" s="64" t="s">
        <v>26</v>
      </c>
      <c r="AH64" s="64">
        <f t="shared" si="10"/>
        <v>0</v>
      </c>
      <c r="AI64" s="65">
        <f t="shared" si="10"/>
        <v>0</v>
      </c>
      <c r="AJ64" s="64" t="str">
        <f t="shared" si="11"/>
        <v/>
      </c>
      <c r="AK64" s="64" t="str">
        <f t="shared" si="3"/>
        <v/>
      </c>
      <c r="AL64" s="66"/>
      <c r="AM64" s="66"/>
    </row>
    <row r="65" spans="1:39" s="67" customFormat="1" ht="24.95" hidden="1" customHeight="1" x14ac:dyDescent="0.15">
      <c r="A65" s="348">
        <v>58</v>
      </c>
      <c r="B65" s="222"/>
      <c r="C65" s="250"/>
      <c r="D65" s="136"/>
      <c r="E65" s="134"/>
      <c r="F65" s="177"/>
      <c r="G65" s="417"/>
      <c r="H65" s="498"/>
      <c r="I65" s="347"/>
      <c r="J65" s="344"/>
      <c r="K65" s="417"/>
      <c r="L65" s="203"/>
      <c r="M65" s="530"/>
      <c r="N65" s="359"/>
      <c r="O65" s="521"/>
      <c r="P65" s="102"/>
      <c r="Q65" s="102"/>
      <c r="R65" s="102"/>
      <c r="S65" s="342"/>
      <c r="T65" s="70"/>
      <c r="U65" s="70"/>
      <c r="V65" s="71"/>
      <c r="W65" s="70"/>
      <c r="X65" s="70"/>
      <c r="Y65" s="71"/>
      <c r="Z65" s="64"/>
      <c r="AA65" s="65"/>
      <c r="AB65" s="70"/>
      <c r="AC65" s="64"/>
      <c r="AD65" s="65"/>
      <c r="AE65" s="70"/>
      <c r="AF65" s="71"/>
      <c r="AG65" s="70"/>
      <c r="AH65" s="70"/>
      <c r="AI65" s="71"/>
      <c r="AJ65" s="64" t="str">
        <f t="shared" si="11"/>
        <v/>
      </c>
      <c r="AK65" s="64" t="str">
        <f t="shared" si="3"/>
        <v/>
      </c>
      <c r="AL65" s="66"/>
      <c r="AM65" s="66"/>
    </row>
    <row r="66" spans="1:39" s="67" customFormat="1" ht="24.95" hidden="1" customHeight="1" x14ac:dyDescent="0.15">
      <c r="A66" s="348">
        <v>59</v>
      </c>
      <c r="B66" s="222"/>
      <c r="C66" s="133"/>
      <c r="D66" s="133"/>
      <c r="E66" s="177"/>
      <c r="F66" s="177"/>
      <c r="G66" s="417"/>
      <c r="H66" s="492"/>
      <c r="I66" s="492"/>
      <c r="J66" s="493"/>
      <c r="K66" s="493"/>
      <c r="L66" s="128"/>
      <c r="M66" s="128"/>
      <c r="N66" s="425"/>
      <c r="O66" s="425"/>
      <c r="P66" s="370"/>
      <c r="Q66" s="370"/>
      <c r="R66" s="370"/>
      <c r="S66" s="342"/>
      <c r="T66" s="70"/>
      <c r="U66" s="70"/>
      <c r="V66" s="71"/>
      <c r="W66" s="70"/>
      <c r="X66" s="70"/>
      <c r="Y66" s="71"/>
      <c r="Z66" s="64"/>
      <c r="AA66" s="65"/>
      <c r="AB66" s="70"/>
      <c r="AC66" s="64"/>
      <c r="AD66" s="65"/>
      <c r="AE66" s="70"/>
      <c r="AF66" s="71"/>
      <c r="AG66" s="70"/>
      <c r="AH66" s="70"/>
      <c r="AI66" s="71"/>
      <c r="AJ66" s="64" t="str">
        <f t="shared" si="11"/>
        <v/>
      </c>
      <c r="AK66" s="64" t="str">
        <f t="shared" si="3"/>
        <v/>
      </c>
      <c r="AL66" s="66"/>
      <c r="AM66" s="66"/>
    </row>
    <row r="67" spans="1:39" s="67" customFormat="1" ht="24.95" hidden="1" customHeight="1" x14ac:dyDescent="0.15">
      <c r="A67" s="348">
        <v>60</v>
      </c>
      <c r="B67" s="222"/>
      <c r="C67" s="133"/>
      <c r="D67" s="191"/>
      <c r="E67" s="177"/>
      <c r="F67" s="177"/>
      <c r="G67" s="417"/>
      <c r="H67" s="492"/>
      <c r="I67" s="492"/>
      <c r="J67" s="493"/>
      <c r="K67" s="493"/>
      <c r="L67" s="128"/>
      <c r="M67" s="137"/>
      <c r="N67" s="425"/>
      <c r="O67" s="425"/>
      <c r="P67" s="203"/>
      <c r="Q67" s="203"/>
      <c r="R67" s="203"/>
      <c r="S67" s="342"/>
      <c r="T67" s="72" t="s">
        <v>37</v>
      </c>
      <c r="U67" s="72">
        <f>COUNTIF(D48:D67,"철")</f>
        <v>0</v>
      </c>
      <c r="V67" s="73">
        <f>COUNTIF(I48:I67,"철")</f>
        <v>0</v>
      </c>
      <c r="W67" s="72" t="s">
        <v>26</v>
      </c>
      <c r="X67" s="72">
        <f>SUMIF(D48:D67,"철",F48:F67)</f>
        <v>0</v>
      </c>
      <c r="Y67" s="73">
        <f>SUMIF(I48:I67,"철",K48:K67)</f>
        <v>0</v>
      </c>
      <c r="Z67" s="64">
        <f>COUNTIF(AJ48:AJ67,"철국")+COUNTIF(AJ48:AJ67,"철공")</f>
        <v>0</v>
      </c>
      <c r="AA67" s="65">
        <f>COUNTIF(AK48:AK67,"철국")+COUNTIF(AK48:AK67,"철공")</f>
        <v>0</v>
      </c>
      <c r="AB67" s="72" t="s">
        <v>26</v>
      </c>
      <c r="AC67" s="64">
        <f>SUMIF(AJ48:AJ67,"철국",F48:F67)+SUMIF(AJ48:AJ67,"철공",F48:F67)</f>
        <v>0</v>
      </c>
      <c r="AD67" s="65">
        <f>SUMIF(AK48:AK67,"철국",K48:K67)+SUMIF(AK48:AK67,"철공",K48:K67)</f>
        <v>0</v>
      </c>
      <c r="AE67" s="72"/>
      <c r="AF67" s="73"/>
      <c r="AG67" s="72"/>
      <c r="AH67" s="72"/>
      <c r="AI67" s="73"/>
      <c r="AJ67" s="64" t="str">
        <f t="shared" si="11"/>
        <v/>
      </c>
      <c r="AK67" s="64" t="str">
        <f t="shared" si="3"/>
        <v/>
      </c>
      <c r="AL67" s="66"/>
      <c r="AM67" s="66"/>
    </row>
    <row r="68" spans="1:39" s="57" customFormat="1" ht="24.95" hidden="1" customHeight="1" thickBot="1" x14ac:dyDescent="0.2">
      <c r="A68" s="147" t="s">
        <v>48</v>
      </c>
      <c r="B68" s="148"/>
      <c r="C68" s="148"/>
      <c r="D68" s="148"/>
      <c r="E68" s="148"/>
      <c r="F68" s="149">
        <f>SUM(F48:F67)</f>
        <v>0</v>
      </c>
      <c r="G68" s="496"/>
      <c r="H68" s="496"/>
      <c r="I68" s="497"/>
      <c r="J68" s="516"/>
      <c r="K68" s="529">
        <f>SUM(K48:K67)</f>
        <v>0</v>
      </c>
      <c r="L68" s="150"/>
      <c r="M68" s="150"/>
      <c r="N68" s="432"/>
      <c r="O68" s="432"/>
      <c r="P68" s="150"/>
      <c r="Q68" s="150"/>
      <c r="R68" s="150"/>
      <c r="S68" s="151"/>
      <c r="T68" s="62" t="s">
        <v>24</v>
      </c>
      <c r="U68" s="63">
        <f t="shared" ref="U68:AA68" si="12">SUM(U48:U67)</f>
        <v>0</v>
      </c>
      <c r="V68" s="63">
        <f t="shared" si="12"/>
        <v>0</v>
      </c>
      <c r="W68" s="63">
        <f t="shared" si="12"/>
        <v>0</v>
      </c>
      <c r="X68" s="63">
        <f t="shared" si="12"/>
        <v>0</v>
      </c>
      <c r="Y68" s="63">
        <f t="shared" si="12"/>
        <v>0</v>
      </c>
      <c r="Z68" s="277">
        <f t="shared" si="12"/>
        <v>0</v>
      </c>
      <c r="AA68" s="278">
        <f t="shared" si="12"/>
        <v>0</v>
      </c>
      <c r="AB68" s="277" t="s">
        <v>26</v>
      </c>
      <c r="AC68" s="277">
        <f>SUM(AC48:AC67)</f>
        <v>0</v>
      </c>
      <c r="AD68" s="278">
        <f>SUM(AD48:AD67)</f>
        <v>0</v>
      </c>
      <c r="AE68" s="63">
        <f>SUM(AE48:AE67)</f>
        <v>0</v>
      </c>
      <c r="AF68" s="63">
        <f>SUM(AF48:AF67)</f>
        <v>0</v>
      </c>
      <c r="AG68" s="63" t="s">
        <v>26</v>
      </c>
      <c r="AH68" s="63">
        <f>SUM(AH48:AH67)</f>
        <v>0</v>
      </c>
      <c r="AI68" s="63">
        <f>SUM(AI48:AI67)</f>
        <v>0</v>
      </c>
      <c r="AJ68" s="63"/>
      <c r="AK68" s="64" t="str">
        <f t="shared" si="3"/>
        <v/>
      </c>
    </row>
    <row r="69" spans="1:39" s="67" customFormat="1" ht="24.95" hidden="1" customHeight="1" x14ac:dyDescent="0.15">
      <c r="A69" s="368">
        <v>61</v>
      </c>
      <c r="B69" s="318"/>
      <c r="C69" s="216"/>
      <c r="D69" s="140"/>
      <c r="E69" s="142"/>
      <c r="F69" s="369"/>
      <c r="G69" s="488"/>
      <c r="H69" s="621"/>
      <c r="I69" s="502"/>
      <c r="J69" s="490"/>
      <c r="K69" s="488"/>
      <c r="L69" s="144"/>
      <c r="M69" s="144"/>
      <c r="N69" s="438"/>
      <c r="O69" s="438"/>
      <c r="P69" s="362"/>
      <c r="Q69" s="362"/>
      <c r="R69" s="362"/>
      <c r="S69" s="358"/>
      <c r="T69" s="64" t="s">
        <v>27</v>
      </c>
      <c r="U69" s="64">
        <f>COUNTIF(D69:D88,"전")</f>
        <v>0</v>
      </c>
      <c r="V69" s="65">
        <f>COUNTIF(I69:I88,"전")</f>
        <v>0</v>
      </c>
      <c r="W69" s="64" t="s">
        <v>26</v>
      </c>
      <c r="X69" s="64">
        <f>SUMIF(D69:D88,"전",F69:F88)</f>
        <v>0</v>
      </c>
      <c r="Y69" s="65">
        <f>SUMIF(I69:I88,"전",K69:K88)</f>
        <v>0</v>
      </c>
      <c r="Z69" s="64">
        <f>COUNTIF(AJ69:AJ88,"전국")+COUNTIF(AJ69:AJ88,"전공")</f>
        <v>0</v>
      </c>
      <c r="AA69" s="65">
        <f>COUNTIF(AK69:AK88,"전국")+COUNTIF(AK69:AK88,"전공")</f>
        <v>0</v>
      </c>
      <c r="AB69" s="64" t="s">
        <v>26</v>
      </c>
      <c r="AC69" s="64">
        <f>SUMIF(AJ69:AJ88,"전국",F69:F88)+SUMIF(AJ69:AJ88,"전공",F69:F88)</f>
        <v>0</v>
      </c>
      <c r="AD69" s="65">
        <f>SUMIF(AK69:AK88,"전국",K69:K88)+SUMIF(AK69:AK88,"전공",K69:K88)</f>
        <v>0</v>
      </c>
      <c r="AE69" s="64">
        <f t="shared" ref="AE69:AF85" si="13">U69-Z69</f>
        <v>0</v>
      </c>
      <c r="AF69" s="65">
        <f t="shared" si="13"/>
        <v>0</v>
      </c>
      <c r="AG69" s="64" t="s">
        <v>26</v>
      </c>
      <c r="AH69" s="64">
        <f t="shared" ref="AH69:AI85" si="14">X69-AC69</f>
        <v>0</v>
      </c>
      <c r="AI69" s="65">
        <f t="shared" si="14"/>
        <v>0</v>
      </c>
      <c r="AJ69" s="64" t="str">
        <f t="shared" ref="AJ69:AJ88" si="15">CONCATENATE(D69,L69)</f>
        <v/>
      </c>
      <c r="AK69" s="64" t="str">
        <f t="shared" si="3"/>
        <v/>
      </c>
    </row>
    <row r="70" spans="1:39" s="67" customFormat="1" ht="24.95" hidden="1" customHeight="1" x14ac:dyDescent="0.15">
      <c r="A70" s="348">
        <v>62</v>
      </c>
      <c r="B70" s="222"/>
      <c r="C70" s="223"/>
      <c r="D70" s="222"/>
      <c r="E70" s="177"/>
      <c r="F70" s="177"/>
      <c r="G70" s="417"/>
      <c r="H70" s="503"/>
      <c r="I70" s="346"/>
      <c r="J70" s="493"/>
      <c r="K70" s="493"/>
      <c r="L70" s="128"/>
      <c r="M70" s="128"/>
      <c r="N70" s="425"/>
      <c r="O70" s="425"/>
      <c r="P70" s="203"/>
      <c r="Q70" s="203"/>
      <c r="R70" s="203"/>
      <c r="S70" s="342"/>
      <c r="T70" s="64" t="s">
        <v>28</v>
      </c>
      <c r="U70" s="64">
        <f>COUNTIF(D69:D88,"답")</f>
        <v>0</v>
      </c>
      <c r="V70" s="65">
        <f>COUNTIF(I69:I88,"답")</f>
        <v>0</v>
      </c>
      <c r="W70" s="64" t="s">
        <v>26</v>
      </c>
      <c r="X70" s="64">
        <f>SUMIF(D69:D88,"답",F69:F88)</f>
        <v>0</v>
      </c>
      <c r="Y70" s="65">
        <f>SUMIF(I69:I88,"답",K69:K88)</f>
        <v>0</v>
      </c>
      <c r="Z70" s="64">
        <f>COUNTIF(AJ69:AJ88,"답국")+COUNTIF(AJ69:AJ88,"답공")</f>
        <v>0</v>
      </c>
      <c r="AA70" s="65">
        <f>COUNTIF(AK69:AK88,"답국")+COUNTIF(AK69:AK88,"답공")</f>
        <v>0</v>
      </c>
      <c r="AB70" s="64" t="s">
        <v>26</v>
      </c>
      <c r="AC70" s="64">
        <f>SUMIF(AJ69:AJ88,"답국",F69:F88)+SUMIF(AJ69:AJ88,"답공",F69:F88)</f>
        <v>0</v>
      </c>
      <c r="AD70" s="65">
        <f>SUMIF(AK69:AK88,"답국",K69:K88)+SUMIF(AK69:AK88,"답공",K69:K88)</f>
        <v>0</v>
      </c>
      <c r="AE70" s="64">
        <f t="shared" si="13"/>
        <v>0</v>
      </c>
      <c r="AF70" s="65">
        <f t="shared" si="13"/>
        <v>0</v>
      </c>
      <c r="AG70" s="64" t="s">
        <v>26</v>
      </c>
      <c r="AH70" s="64">
        <f t="shared" si="14"/>
        <v>0</v>
      </c>
      <c r="AI70" s="65">
        <f t="shared" si="14"/>
        <v>0</v>
      </c>
      <c r="AJ70" s="64" t="str">
        <f t="shared" si="15"/>
        <v/>
      </c>
      <c r="AK70" s="64" t="str">
        <f t="shared" si="3"/>
        <v/>
      </c>
      <c r="AM70" s="66"/>
    </row>
    <row r="71" spans="1:39" s="67" customFormat="1" ht="24.95" hidden="1" customHeight="1" x14ac:dyDescent="0.15">
      <c r="A71" s="349" t="s">
        <v>11</v>
      </c>
      <c r="B71" s="222"/>
      <c r="C71" s="133"/>
      <c r="D71" s="133"/>
      <c r="E71" s="177"/>
      <c r="F71" s="177"/>
      <c r="G71" s="417"/>
      <c r="H71" s="492"/>
      <c r="I71" s="492"/>
      <c r="J71" s="493"/>
      <c r="K71" s="493"/>
      <c r="L71" s="128"/>
      <c r="M71" s="128"/>
      <c r="N71" s="463"/>
      <c r="O71" s="429"/>
      <c r="P71" s="102"/>
      <c r="Q71" s="102"/>
      <c r="R71" s="102"/>
      <c r="S71" s="342"/>
      <c r="T71" s="64" t="s">
        <v>44</v>
      </c>
      <c r="U71" s="64">
        <f>COUNTIF(D69:D88,"임")</f>
        <v>0</v>
      </c>
      <c r="V71" s="65">
        <f>COUNTIF(I69:I88,"임")</f>
        <v>0</v>
      </c>
      <c r="W71" s="64" t="s">
        <v>26</v>
      </c>
      <c r="X71" s="64">
        <f>SUMIF(D69:D88,"임",F69:F88)</f>
        <v>0</v>
      </c>
      <c r="Y71" s="65">
        <f>SUMIF(I69:I88,"임",K69:K88)</f>
        <v>0</v>
      </c>
      <c r="Z71" s="64">
        <f>COUNTIF(AJ69:AJ88,"임국")+COUNTIF(AJ69:AJ88,"임공")</f>
        <v>0</v>
      </c>
      <c r="AA71" s="65">
        <f>COUNTIF(AK69:AK88,"임국")+COUNTIF(AK69:AK88,"임공")</f>
        <v>0</v>
      </c>
      <c r="AB71" s="64" t="s">
        <v>26</v>
      </c>
      <c r="AC71" s="64">
        <f>SUMIF(AJ69:AJ88,"임국",F69:F88)+SUMIF(AJ69:AJ88,"임공",F69:F88)</f>
        <v>0</v>
      </c>
      <c r="AD71" s="65">
        <f>SUMIF(AK69:AK88,"임국",K69:K88)+SUMIF(AK69:AK88,"임공",K69:K88)</f>
        <v>0</v>
      </c>
      <c r="AE71" s="64">
        <f t="shared" si="13"/>
        <v>0</v>
      </c>
      <c r="AF71" s="65">
        <f t="shared" si="13"/>
        <v>0</v>
      </c>
      <c r="AG71" s="64" t="s">
        <v>26</v>
      </c>
      <c r="AH71" s="64">
        <f t="shared" si="14"/>
        <v>0</v>
      </c>
      <c r="AI71" s="65">
        <f t="shared" si="14"/>
        <v>0</v>
      </c>
      <c r="AJ71" s="64" t="str">
        <f t="shared" si="15"/>
        <v/>
      </c>
      <c r="AK71" s="64" t="str">
        <f t="shared" ref="AK71:AK134" si="16">CONCATENATE(I71,N71)</f>
        <v/>
      </c>
      <c r="AL71" s="66"/>
      <c r="AM71" s="66"/>
    </row>
    <row r="72" spans="1:39" s="67" customFormat="1" ht="24.95" hidden="1" customHeight="1" x14ac:dyDescent="0.15">
      <c r="A72" s="348">
        <v>64</v>
      </c>
      <c r="B72" s="222"/>
      <c r="C72" s="133"/>
      <c r="D72" s="133"/>
      <c r="E72" s="177"/>
      <c r="F72" s="177"/>
      <c r="G72" s="417"/>
      <c r="H72" s="492"/>
      <c r="I72" s="492"/>
      <c r="J72" s="493"/>
      <c r="K72" s="493"/>
      <c r="L72" s="128"/>
      <c r="M72" s="128"/>
      <c r="N72" s="463"/>
      <c r="O72" s="429"/>
      <c r="P72" s="203"/>
      <c r="Q72" s="203"/>
      <c r="R72" s="203"/>
      <c r="S72" s="342"/>
      <c r="T72" s="64" t="s">
        <v>45</v>
      </c>
      <c r="U72" s="64">
        <f>COUNTIF(D69:D88,"대")</f>
        <v>0</v>
      </c>
      <c r="V72" s="65">
        <f>COUNTIF(I69:I88,"대")</f>
        <v>0</v>
      </c>
      <c r="W72" s="64" t="s">
        <v>26</v>
      </c>
      <c r="X72" s="64">
        <f>SUMIF(D69:D88,"대",F69:F88)</f>
        <v>0</v>
      </c>
      <c r="Y72" s="65">
        <f>SUMIF(I69:I88,"대",K69:K88)</f>
        <v>0</v>
      </c>
      <c r="Z72" s="64">
        <f>COUNTIF(AJ69:AJ88,"대국")+COUNTIF(AJ69:AJ88,"대공")</f>
        <v>0</v>
      </c>
      <c r="AA72" s="65">
        <f>COUNTIF(AK69:AK88,"대국")+COUNTIF(AK69:AK88,"대공")</f>
        <v>0</v>
      </c>
      <c r="AB72" s="64" t="s">
        <v>26</v>
      </c>
      <c r="AC72" s="64">
        <f>SUMIF(AJ69:AJ88,"대국",F69:F88)+SUMIF(AJ69:AJ88,"대공",F69:F88)</f>
        <v>0</v>
      </c>
      <c r="AD72" s="65">
        <f>SUMIF(AK69:AK88,"대국",K69:K88)+SUMIF(AK69:AK88,"대공",K69:K88)</f>
        <v>0</v>
      </c>
      <c r="AE72" s="64">
        <f t="shared" si="13"/>
        <v>0</v>
      </c>
      <c r="AF72" s="65">
        <f t="shared" si="13"/>
        <v>0</v>
      </c>
      <c r="AG72" s="64" t="s">
        <v>26</v>
      </c>
      <c r="AH72" s="64">
        <f t="shared" si="14"/>
        <v>0</v>
      </c>
      <c r="AI72" s="65">
        <f t="shared" si="14"/>
        <v>0</v>
      </c>
      <c r="AJ72" s="64" t="str">
        <f t="shared" si="15"/>
        <v/>
      </c>
      <c r="AK72" s="64" t="str">
        <f t="shared" si="16"/>
        <v/>
      </c>
      <c r="AL72" s="66"/>
      <c r="AM72" s="66"/>
    </row>
    <row r="73" spans="1:39" s="67" customFormat="1" ht="24.95" hidden="1" customHeight="1" x14ac:dyDescent="0.15">
      <c r="A73" s="348">
        <v>65</v>
      </c>
      <c r="B73" s="222"/>
      <c r="C73" s="133"/>
      <c r="D73" s="133"/>
      <c r="E73" s="177"/>
      <c r="F73" s="177"/>
      <c r="G73" s="417"/>
      <c r="H73" s="492"/>
      <c r="I73" s="492"/>
      <c r="J73" s="493"/>
      <c r="K73" s="493"/>
      <c r="L73" s="128"/>
      <c r="M73" s="128"/>
      <c r="N73" s="463"/>
      <c r="O73" s="463"/>
      <c r="P73" s="203"/>
      <c r="Q73" s="203"/>
      <c r="R73" s="203"/>
      <c r="S73" s="342"/>
      <c r="T73" s="64" t="s">
        <v>31</v>
      </c>
      <c r="U73" s="64">
        <f>COUNTIF(D69:D88,"도")</f>
        <v>0</v>
      </c>
      <c r="V73" s="65">
        <f>COUNTIF(I69:I88,"도")</f>
        <v>0</v>
      </c>
      <c r="W73" s="64" t="s">
        <v>26</v>
      </c>
      <c r="X73" s="64">
        <f>SUMIF(D69:D88,"도",F69:F88)</f>
        <v>0</v>
      </c>
      <c r="Y73" s="65">
        <f>SUMIF(I69:I88,"도",K69:K88)</f>
        <v>0</v>
      </c>
      <c r="Z73" s="64">
        <f>COUNTIF(AJ69:AJ88,"도국")+COUNTIF(AJ69:AJ88,"도공")</f>
        <v>0</v>
      </c>
      <c r="AA73" s="65">
        <f>COUNTIF(AK69:AK88,"도국")+COUNTIF(AK69:AK88,"도공")</f>
        <v>0</v>
      </c>
      <c r="AB73" s="64" t="s">
        <v>26</v>
      </c>
      <c r="AC73" s="64">
        <f>SUMIF(AJ69:AJ88,"도국",F69:F88)+SUMIF(AJ69:AJ88,"도공",F69:F88)</f>
        <v>0</v>
      </c>
      <c r="AD73" s="65">
        <f>SUMIF(AK69:AK88,"도국",K69:K88)+SUMIF(AK69:AK88,"도공",K69:K88)</f>
        <v>0</v>
      </c>
      <c r="AE73" s="64">
        <f t="shared" si="13"/>
        <v>0</v>
      </c>
      <c r="AF73" s="65">
        <f t="shared" si="13"/>
        <v>0</v>
      </c>
      <c r="AG73" s="64" t="s">
        <v>26</v>
      </c>
      <c r="AH73" s="64">
        <f t="shared" si="14"/>
        <v>0</v>
      </c>
      <c r="AI73" s="65">
        <f t="shared" si="14"/>
        <v>0</v>
      </c>
      <c r="AJ73" s="64" t="str">
        <f t="shared" si="15"/>
        <v/>
      </c>
      <c r="AK73" s="64" t="str">
        <f t="shared" si="16"/>
        <v/>
      </c>
      <c r="AL73" s="66"/>
      <c r="AM73" s="66"/>
    </row>
    <row r="74" spans="1:39" s="67" customFormat="1" ht="24.95" hidden="1" customHeight="1" x14ac:dyDescent="0.15">
      <c r="A74" s="348">
        <v>66</v>
      </c>
      <c r="B74" s="222"/>
      <c r="C74" s="132"/>
      <c r="D74" s="132"/>
      <c r="E74" s="177"/>
      <c r="F74" s="177"/>
      <c r="G74" s="417"/>
      <c r="H74" s="500"/>
      <c r="I74" s="500"/>
      <c r="J74" s="493"/>
      <c r="K74" s="493"/>
      <c r="L74" s="128"/>
      <c r="M74" s="128"/>
      <c r="N74" s="425"/>
      <c r="O74" s="425"/>
      <c r="P74" s="102"/>
      <c r="Q74" s="102"/>
      <c r="R74" s="102"/>
      <c r="S74" s="342"/>
      <c r="T74" s="64" t="s">
        <v>32</v>
      </c>
      <c r="U74" s="68">
        <f>COUNTIF(D69:D88,"천")</f>
        <v>0</v>
      </c>
      <c r="V74" s="69">
        <f>COUNTIF(I69:I88,"천")</f>
        <v>0</v>
      </c>
      <c r="W74" s="64" t="s">
        <v>26</v>
      </c>
      <c r="X74" s="64">
        <f>SUMIF(D69:D88,"천",F69:F88)</f>
        <v>0</v>
      </c>
      <c r="Y74" s="65">
        <f>SUMIF(I69:I88,"천",K69:K88)</f>
        <v>0</v>
      </c>
      <c r="Z74" s="64">
        <f>COUNTIF(AJ69:AJ88,"천국")+COUNTIF(AJ69:AJ88,"천공")</f>
        <v>0</v>
      </c>
      <c r="AA74" s="65">
        <f>COUNTIF(AK69:AK88,"천국")+COUNTIF(AK69:AK88,"천공")</f>
        <v>0</v>
      </c>
      <c r="AB74" s="64" t="s">
        <v>26</v>
      </c>
      <c r="AC74" s="64">
        <f>SUMIF(AJ69:AJ88,"천국",F69:F88)+SUMIF(AJ69:AJ88,"천공",F69:F88)</f>
        <v>0</v>
      </c>
      <c r="AD74" s="65">
        <f>SUMIF(AK69:AK88,"천국",K69:K88)+SUMIF(AK69:AK88,"천공",K69:K88)</f>
        <v>0</v>
      </c>
      <c r="AE74" s="64">
        <f t="shared" si="13"/>
        <v>0</v>
      </c>
      <c r="AF74" s="65">
        <f t="shared" si="13"/>
        <v>0</v>
      </c>
      <c r="AG74" s="64" t="s">
        <v>26</v>
      </c>
      <c r="AH74" s="64">
        <f t="shared" si="14"/>
        <v>0</v>
      </c>
      <c r="AI74" s="65">
        <f t="shared" si="14"/>
        <v>0</v>
      </c>
      <c r="AJ74" s="64" t="str">
        <f t="shared" si="15"/>
        <v/>
      </c>
      <c r="AK74" s="64" t="str">
        <f t="shared" si="16"/>
        <v/>
      </c>
      <c r="AL74" s="66"/>
      <c r="AM74" s="66"/>
    </row>
    <row r="75" spans="1:39" s="67" customFormat="1" ht="24.95" hidden="1" customHeight="1" x14ac:dyDescent="0.15">
      <c r="A75" s="348">
        <v>67</v>
      </c>
      <c r="B75" s="222"/>
      <c r="C75" s="133"/>
      <c r="D75" s="222"/>
      <c r="E75" s="177"/>
      <c r="F75" s="177"/>
      <c r="G75" s="417"/>
      <c r="H75" s="492"/>
      <c r="I75" s="492"/>
      <c r="J75" s="493"/>
      <c r="K75" s="493"/>
      <c r="L75" s="128"/>
      <c r="M75" s="128"/>
      <c r="N75" s="425"/>
      <c r="O75" s="425"/>
      <c r="P75" s="370"/>
      <c r="Q75" s="370"/>
      <c r="R75" s="370"/>
      <c r="S75" s="342"/>
      <c r="T75" s="64" t="s">
        <v>33</v>
      </c>
      <c r="U75" s="64">
        <f>COUNTIF(D69:D88,"구")</f>
        <v>0</v>
      </c>
      <c r="V75" s="65">
        <f>COUNTIF(I69:I88,"구")</f>
        <v>0</v>
      </c>
      <c r="W75" s="64" t="s">
        <v>26</v>
      </c>
      <c r="X75" s="64">
        <f>SUMIF(D69:D88,"구",F69:F88)</f>
        <v>0</v>
      </c>
      <c r="Y75" s="65">
        <f>SUMIF(I69:I88,"구",K69:K88)</f>
        <v>0</v>
      </c>
      <c r="Z75" s="64">
        <f>COUNTIF(AJ69:AJ88,"구국")+COUNTIF(AJ69:AJ88,"구공")</f>
        <v>0</v>
      </c>
      <c r="AA75" s="65">
        <f>COUNTIF(AK69:AK88,"구국")+COUNTIF(AK69:AK88,"구공")</f>
        <v>0</v>
      </c>
      <c r="AB75" s="64" t="s">
        <v>26</v>
      </c>
      <c r="AC75" s="64">
        <f>SUMIF(AJ69:AJ88,"구국",F69:F88)+SUMIF(AJ69:AJ88,"구공",F69:F88)</f>
        <v>0</v>
      </c>
      <c r="AD75" s="65">
        <f>SUMIF(AK69:AK88,"구국",K69:K88)+SUMIF(AK69:AK88,"구공",K69:K88)</f>
        <v>0</v>
      </c>
      <c r="AE75" s="64">
        <f t="shared" si="13"/>
        <v>0</v>
      </c>
      <c r="AF75" s="65">
        <f t="shared" si="13"/>
        <v>0</v>
      </c>
      <c r="AG75" s="64" t="s">
        <v>26</v>
      </c>
      <c r="AH75" s="64">
        <f t="shared" si="14"/>
        <v>0</v>
      </c>
      <c r="AI75" s="65">
        <f t="shared" si="14"/>
        <v>0</v>
      </c>
      <c r="AJ75" s="64" t="str">
        <f t="shared" si="15"/>
        <v/>
      </c>
      <c r="AK75" s="64" t="str">
        <f t="shared" si="16"/>
        <v/>
      </c>
      <c r="AL75" s="66"/>
      <c r="AM75" s="66"/>
    </row>
    <row r="76" spans="1:39" s="67" customFormat="1" ht="24.95" hidden="1" customHeight="1" x14ac:dyDescent="0.15">
      <c r="A76" s="348">
        <v>68</v>
      </c>
      <c r="B76" s="222"/>
      <c r="C76" s="132"/>
      <c r="D76" s="132"/>
      <c r="E76" s="177"/>
      <c r="F76" s="177"/>
      <c r="G76" s="417"/>
      <c r="H76" s="500"/>
      <c r="I76" s="500"/>
      <c r="J76" s="493"/>
      <c r="K76" s="493"/>
      <c r="L76" s="128"/>
      <c r="M76" s="128"/>
      <c r="N76" s="425"/>
      <c r="O76" s="425"/>
      <c r="P76" s="203"/>
      <c r="Q76" s="203"/>
      <c r="R76" s="203"/>
      <c r="S76" s="342"/>
      <c r="T76" s="64" t="s">
        <v>34</v>
      </c>
      <c r="U76" s="64">
        <f>COUNTIF(D69:D88,"제")</f>
        <v>0</v>
      </c>
      <c r="V76" s="65">
        <f>COUNTIF(I69:I88,"제")</f>
        <v>0</v>
      </c>
      <c r="W76" s="64" t="s">
        <v>26</v>
      </c>
      <c r="X76" s="64">
        <f>SUMIF(D69:D88,"제",F69:F88)</f>
        <v>0</v>
      </c>
      <c r="Y76" s="65">
        <f>SUMIF(I69:I88,"제",K69:K88)</f>
        <v>0</v>
      </c>
      <c r="Z76" s="64">
        <f>COUNTIF(AJ69:AJ88,"제국")+COUNTIF(AJ69:AJ88,"제공")</f>
        <v>0</v>
      </c>
      <c r="AA76" s="65">
        <f>COUNTIF(AK69:AK88,"제국")+COUNTIF(AK69:AK88,"제공")</f>
        <v>0</v>
      </c>
      <c r="AB76" s="64" t="s">
        <v>26</v>
      </c>
      <c r="AC76" s="64">
        <f>SUMIF(AJ69:AJ88,"제국",F69:F88)+SUMIF(AJ69:AJ88,"제공",F69:F88)</f>
        <v>0</v>
      </c>
      <c r="AD76" s="65">
        <f>SUMIF(AK69:AK88,"제국",K69:K88)+SUMIF(AK69:AK88,"제공",K69:K88)</f>
        <v>0</v>
      </c>
      <c r="AE76" s="64">
        <f t="shared" si="13"/>
        <v>0</v>
      </c>
      <c r="AF76" s="65">
        <f t="shared" si="13"/>
        <v>0</v>
      </c>
      <c r="AG76" s="64" t="s">
        <v>26</v>
      </c>
      <c r="AH76" s="64">
        <f t="shared" si="14"/>
        <v>0</v>
      </c>
      <c r="AI76" s="65">
        <f t="shared" si="14"/>
        <v>0</v>
      </c>
      <c r="AJ76" s="64" t="str">
        <f t="shared" si="15"/>
        <v/>
      </c>
      <c r="AK76" s="64" t="str">
        <f t="shared" si="16"/>
        <v/>
      </c>
      <c r="AL76" s="66"/>
      <c r="AM76" s="66"/>
    </row>
    <row r="77" spans="1:39" s="67" customFormat="1" ht="24.95" hidden="1" customHeight="1" x14ac:dyDescent="0.15">
      <c r="A77" s="348">
        <v>69</v>
      </c>
      <c r="B77" s="222"/>
      <c r="C77" s="614"/>
      <c r="D77" s="611"/>
      <c r="E77" s="192"/>
      <c r="F77" s="615"/>
      <c r="G77" s="600"/>
      <c r="H77" s="598"/>
      <c r="I77" s="612"/>
      <c r="J77" s="616"/>
      <c r="K77" s="617"/>
      <c r="L77" s="618"/>
      <c r="M77" s="604"/>
      <c r="N77" s="619"/>
      <c r="O77" s="620"/>
      <c r="P77" s="207"/>
      <c r="Q77" s="207"/>
      <c r="R77" s="207"/>
      <c r="S77" s="342"/>
      <c r="T77" s="64" t="s">
        <v>46</v>
      </c>
      <c r="U77" s="64">
        <f>COUNTIF(D69:D88,"유")</f>
        <v>0</v>
      </c>
      <c r="V77" s="65">
        <f>COUNTIF(I69:I88,"유")</f>
        <v>0</v>
      </c>
      <c r="W77" s="64" t="s">
        <v>26</v>
      </c>
      <c r="X77" s="64">
        <f>SUMIF(D69:D88,"유",F69:F88)</f>
        <v>0</v>
      </c>
      <c r="Y77" s="65">
        <f>SUMIF(I69:I88,"유",K69:K88)</f>
        <v>0</v>
      </c>
      <c r="Z77" s="64">
        <f>COUNTIF(AJ69:AJ88,"유국")+COUNTIF(AJ69:AJ88,"유공")</f>
        <v>0</v>
      </c>
      <c r="AA77" s="65">
        <f>COUNTIF(AK69:AK88,"유국")+COUNTIF(AK69:AK88,"유공")</f>
        <v>0</v>
      </c>
      <c r="AB77" s="64" t="s">
        <v>26</v>
      </c>
      <c r="AC77" s="64">
        <f>SUMIF(AJ69:AJ88,"유국",F69:F88)+SUMIF(AJ69:AJ88,"유공",F69:F88)</f>
        <v>0</v>
      </c>
      <c r="AD77" s="65">
        <f>SUMIF(AK69:AK88,"유국",K69:K88)+SUMIF(AK69:AK88,"유공",K69:K88)</f>
        <v>0</v>
      </c>
      <c r="AE77" s="64">
        <f t="shared" si="13"/>
        <v>0</v>
      </c>
      <c r="AF77" s="65">
        <f t="shared" si="13"/>
        <v>0</v>
      </c>
      <c r="AG77" s="64" t="s">
        <v>26</v>
      </c>
      <c r="AH77" s="64">
        <f t="shared" si="14"/>
        <v>0</v>
      </c>
      <c r="AI77" s="65">
        <f t="shared" si="14"/>
        <v>0</v>
      </c>
      <c r="AJ77" s="64" t="str">
        <f t="shared" si="15"/>
        <v/>
      </c>
      <c r="AK77" s="64" t="str">
        <f t="shared" si="16"/>
        <v/>
      </c>
      <c r="AL77" s="66"/>
      <c r="AM77" s="66"/>
    </row>
    <row r="78" spans="1:39" s="67" customFormat="1" ht="24.95" hidden="1" customHeight="1" x14ac:dyDescent="0.15">
      <c r="A78" s="348">
        <v>70</v>
      </c>
      <c r="B78" s="222"/>
      <c r="C78" s="133"/>
      <c r="D78" s="222"/>
      <c r="E78" s="177"/>
      <c r="F78" s="177"/>
      <c r="G78" s="417"/>
      <c r="H78" s="492"/>
      <c r="I78" s="492"/>
      <c r="J78" s="493"/>
      <c r="K78" s="493"/>
      <c r="L78" s="128"/>
      <c r="M78" s="128"/>
      <c r="N78" s="425"/>
      <c r="O78" s="425"/>
      <c r="P78" s="102"/>
      <c r="Q78" s="102"/>
      <c r="R78" s="102"/>
      <c r="S78" s="342"/>
      <c r="T78" s="64" t="s">
        <v>47</v>
      </c>
      <c r="U78" s="64">
        <f>COUNTIF(D69:D88,"과")</f>
        <v>0</v>
      </c>
      <c r="V78" s="65">
        <f>COUNTIF(I69:I88,"과")</f>
        <v>0</v>
      </c>
      <c r="W78" s="64" t="s">
        <v>26</v>
      </c>
      <c r="X78" s="64">
        <f>SUMIF(D69:D88,"과",F69:F88)</f>
        <v>0</v>
      </c>
      <c r="Y78" s="65">
        <f>SUMIF(I69:I88,"과",K69:K88)</f>
        <v>0</v>
      </c>
      <c r="Z78" s="64">
        <f>COUNTIF(AJ69:AJ88,"과국")+COUNTIF(AJ69:AJ88,"과공")</f>
        <v>0</v>
      </c>
      <c r="AA78" s="65">
        <f>COUNTIF(AK69:AK88,"과국")+COUNTIF(AK69:AK88,"과공")</f>
        <v>0</v>
      </c>
      <c r="AB78" s="64" t="s">
        <v>26</v>
      </c>
      <c r="AC78" s="64">
        <f>SUMIF(AJ69:AJ88,"과국",F69:F88)+SUMIF(AJ69:AJ88,"과공",F69:F88)</f>
        <v>0</v>
      </c>
      <c r="AD78" s="65">
        <f>SUMIF(AK69:AK88,"과국",K69:K88)+SUMIF(AK69:AK88,"과공",K69:K88)</f>
        <v>0</v>
      </c>
      <c r="AE78" s="64">
        <f t="shared" si="13"/>
        <v>0</v>
      </c>
      <c r="AF78" s="65">
        <f t="shared" si="13"/>
        <v>0</v>
      </c>
      <c r="AG78" s="64" t="s">
        <v>26</v>
      </c>
      <c r="AH78" s="64">
        <f t="shared" si="14"/>
        <v>0</v>
      </c>
      <c r="AI78" s="65">
        <f t="shared" si="14"/>
        <v>0</v>
      </c>
      <c r="AJ78" s="64" t="str">
        <f t="shared" si="15"/>
        <v/>
      </c>
      <c r="AK78" s="64" t="str">
        <f t="shared" si="16"/>
        <v/>
      </c>
      <c r="AL78" s="66"/>
      <c r="AM78" s="66"/>
    </row>
    <row r="79" spans="1:39" s="67" customFormat="1" ht="24.95" hidden="1" customHeight="1" x14ac:dyDescent="0.15">
      <c r="A79" s="348">
        <v>71</v>
      </c>
      <c r="B79" s="222"/>
      <c r="C79" s="133"/>
      <c r="D79" s="133"/>
      <c r="E79" s="177"/>
      <c r="F79" s="177"/>
      <c r="G79" s="417"/>
      <c r="H79" s="492"/>
      <c r="I79" s="492"/>
      <c r="J79" s="493"/>
      <c r="K79" s="493"/>
      <c r="L79" s="128"/>
      <c r="M79" s="128"/>
      <c r="N79" s="425"/>
      <c r="O79" s="425"/>
      <c r="P79" s="155"/>
      <c r="Q79" s="155"/>
      <c r="R79" s="155"/>
      <c r="S79" s="342"/>
      <c r="T79" s="64" t="s">
        <v>36</v>
      </c>
      <c r="U79" s="64">
        <f>COUNTIF(D69:D88,"묘")</f>
        <v>0</v>
      </c>
      <c r="V79" s="65">
        <f>COUNTIF(I69:I88,"묘")</f>
        <v>0</v>
      </c>
      <c r="W79" s="64" t="s">
        <v>26</v>
      </c>
      <c r="X79" s="64">
        <f>SUMIF(D69:D88,"묘",F69:F88)</f>
        <v>0</v>
      </c>
      <c r="Y79" s="65">
        <f>SUMIF(I69:I88,"묘",K69:K88)</f>
        <v>0</v>
      </c>
      <c r="Z79" s="64">
        <f>COUNTIF(AJ69:AJ88,"묘국")+COUNTIF(AJ69:AJ88,"묘공")</f>
        <v>0</v>
      </c>
      <c r="AA79" s="65">
        <f>COUNTIF(AK69:AK88,"묘국")+COUNTIF(AK69:AK88,"묘공")</f>
        <v>0</v>
      </c>
      <c r="AB79" s="64" t="s">
        <v>26</v>
      </c>
      <c r="AC79" s="64">
        <f>SUMIF(AJ69:AJ88,"묘국",F69:F88)+SUMIF(AJ69:AJ88,"묘공",F69:F88)</f>
        <v>0</v>
      </c>
      <c r="AD79" s="65">
        <f>SUMIF(AK69:AK88,"묘국",K69:K88)+SUMIF(AK69:AK88,"묘공",K69:K88)</f>
        <v>0</v>
      </c>
      <c r="AE79" s="64">
        <f t="shared" si="13"/>
        <v>0</v>
      </c>
      <c r="AF79" s="65">
        <f t="shared" si="13"/>
        <v>0</v>
      </c>
      <c r="AG79" s="64" t="s">
        <v>26</v>
      </c>
      <c r="AH79" s="64">
        <f t="shared" si="14"/>
        <v>0</v>
      </c>
      <c r="AI79" s="65">
        <f t="shared" si="14"/>
        <v>0</v>
      </c>
      <c r="AJ79" s="64" t="str">
        <f t="shared" si="15"/>
        <v/>
      </c>
      <c r="AK79" s="64" t="str">
        <f t="shared" si="16"/>
        <v/>
      </c>
      <c r="AL79" s="66"/>
      <c r="AM79" s="66"/>
    </row>
    <row r="80" spans="1:39" s="67" customFormat="1" ht="24.95" hidden="1" customHeight="1" x14ac:dyDescent="0.15">
      <c r="A80" s="348">
        <v>72</v>
      </c>
      <c r="B80" s="222"/>
      <c r="C80" s="133"/>
      <c r="D80" s="133"/>
      <c r="E80" s="177"/>
      <c r="F80" s="177"/>
      <c r="G80" s="417"/>
      <c r="H80" s="492"/>
      <c r="I80" s="492"/>
      <c r="J80" s="493"/>
      <c r="K80" s="493"/>
      <c r="L80" s="128"/>
      <c r="M80" s="128"/>
      <c r="N80" s="425"/>
      <c r="O80" s="425"/>
      <c r="P80" s="102"/>
      <c r="Q80" s="102"/>
      <c r="R80" s="102"/>
      <c r="S80" s="342"/>
      <c r="T80" s="64" t="s">
        <v>39</v>
      </c>
      <c r="U80" s="64">
        <f>COUNTIF(D69:D88,"수")</f>
        <v>0</v>
      </c>
      <c r="V80" s="65">
        <f>COUNTIF(I69:I88,"수")</f>
        <v>0</v>
      </c>
      <c r="W80" s="64" t="s">
        <v>26</v>
      </c>
      <c r="X80" s="64">
        <f>SUMIF(D69:D88,"수",F69:F88)</f>
        <v>0</v>
      </c>
      <c r="Y80" s="65">
        <f>SUMIF(I69:I88,"수",K69:K88)</f>
        <v>0</v>
      </c>
      <c r="Z80" s="64">
        <f>COUNTIF(AJ69:AJ88,"수국")+COUNTIF(AJ69:AJ88,"수공")</f>
        <v>0</v>
      </c>
      <c r="AA80" s="65">
        <f>COUNTIF(AK69:AK88,"수국")+COUNTIF(AK69:AK88,"수공")</f>
        <v>0</v>
      </c>
      <c r="AB80" s="64" t="s">
        <v>26</v>
      </c>
      <c r="AC80" s="64">
        <f>SUMIF(AJ69:AJ88,"수국",F69:F88)+SUMIF(AJ69:AJ88,"수공",F69:F88)</f>
        <v>0</v>
      </c>
      <c r="AD80" s="65">
        <f>SUMIF(AK69:AK88,"수국",K69:K88)+SUMIF(AK69:AK88,"수공",K69:K88)</f>
        <v>0</v>
      </c>
      <c r="AE80" s="64">
        <f t="shared" si="13"/>
        <v>0</v>
      </c>
      <c r="AF80" s="65">
        <f t="shared" si="13"/>
        <v>0</v>
      </c>
      <c r="AG80" s="64" t="s">
        <v>26</v>
      </c>
      <c r="AH80" s="64">
        <f t="shared" si="14"/>
        <v>0</v>
      </c>
      <c r="AI80" s="65">
        <f t="shared" si="14"/>
        <v>0</v>
      </c>
      <c r="AJ80" s="64" t="str">
        <f t="shared" si="15"/>
        <v/>
      </c>
      <c r="AK80" s="64" t="str">
        <f t="shared" si="16"/>
        <v/>
      </c>
      <c r="AL80" s="66"/>
      <c r="AM80" s="66"/>
    </row>
    <row r="81" spans="1:39" s="67" customFormat="1" ht="24.95" hidden="1" customHeight="1" x14ac:dyDescent="0.15">
      <c r="A81" s="348">
        <v>73</v>
      </c>
      <c r="B81" s="222"/>
      <c r="C81" s="133"/>
      <c r="D81" s="222"/>
      <c r="E81" s="177"/>
      <c r="F81" s="177"/>
      <c r="G81" s="417"/>
      <c r="H81" s="492"/>
      <c r="I81" s="492"/>
      <c r="J81" s="493"/>
      <c r="K81" s="493"/>
      <c r="L81" s="128"/>
      <c r="M81" s="128"/>
      <c r="N81" s="425"/>
      <c r="O81" s="425"/>
      <c r="P81" s="155"/>
      <c r="Q81" s="155"/>
      <c r="R81" s="155"/>
      <c r="S81" s="342"/>
      <c r="T81" s="64" t="s">
        <v>35</v>
      </c>
      <c r="U81" s="64">
        <f>COUNTIF(D69:D88,"잡")</f>
        <v>0</v>
      </c>
      <c r="V81" s="65">
        <f>COUNTIF(I69:I88,"잡")</f>
        <v>0</v>
      </c>
      <c r="W81" s="64" t="s">
        <v>26</v>
      </c>
      <c r="X81" s="64">
        <f>SUMIF(D69:D88,"잡",F69:F88)</f>
        <v>0</v>
      </c>
      <c r="Y81" s="65">
        <f>SUMIF(I69:I88,"잡",K69:K88)</f>
        <v>0</v>
      </c>
      <c r="Z81" s="64">
        <f>COUNTIF(AJ69:AJ88,"잡국")+COUNTIF(AJ69:AJ88,"잡공")</f>
        <v>0</v>
      </c>
      <c r="AA81" s="65">
        <f>COUNTIF(AK69:AK88,"잡국")+COUNTIF(AK69:AK88,"잡공")</f>
        <v>0</v>
      </c>
      <c r="AB81" s="64" t="s">
        <v>26</v>
      </c>
      <c r="AC81" s="64">
        <f>SUMIF(AJ69:AJ88,"잡국",F69:F88)+SUMIF(AJ69:AJ88,"잡공",F69:F88)</f>
        <v>0</v>
      </c>
      <c r="AD81" s="65">
        <f>SUMIF(AK69:AK88,"잡국",K69:K88)+SUMIF(AK69:AK88,"잡공",K69:K88)</f>
        <v>0</v>
      </c>
      <c r="AE81" s="64">
        <f t="shared" si="13"/>
        <v>0</v>
      </c>
      <c r="AF81" s="65">
        <f t="shared" si="13"/>
        <v>0</v>
      </c>
      <c r="AG81" s="64" t="s">
        <v>26</v>
      </c>
      <c r="AH81" s="64">
        <f t="shared" si="14"/>
        <v>0</v>
      </c>
      <c r="AI81" s="65">
        <f t="shared" si="14"/>
        <v>0</v>
      </c>
      <c r="AJ81" s="64" t="str">
        <f t="shared" si="15"/>
        <v/>
      </c>
      <c r="AK81" s="64" t="str">
        <f t="shared" si="16"/>
        <v/>
      </c>
      <c r="AL81" s="66"/>
      <c r="AM81" s="66"/>
    </row>
    <row r="82" spans="1:39" s="67" customFormat="1" ht="24.95" hidden="1" customHeight="1" x14ac:dyDescent="0.15">
      <c r="A82" s="348">
        <v>74</v>
      </c>
      <c r="B82" s="222"/>
      <c r="C82" s="133"/>
      <c r="D82" s="133"/>
      <c r="E82" s="177"/>
      <c r="F82" s="177"/>
      <c r="G82" s="417"/>
      <c r="H82" s="492"/>
      <c r="I82" s="492"/>
      <c r="J82" s="493"/>
      <c r="K82" s="493"/>
      <c r="L82" s="128"/>
      <c r="M82" s="128"/>
      <c r="N82" s="425"/>
      <c r="O82" s="425"/>
      <c r="P82" s="102"/>
      <c r="Q82" s="102"/>
      <c r="R82" s="102"/>
      <c r="S82" s="345"/>
      <c r="T82" s="64" t="s">
        <v>51</v>
      </c>
      <c r="U82" s="64">
        <f>COUNTIF(D69:D88,"체")</f>
        <v>0</v>
      </c>
      <c r="V82" s="65">
        <f>COUNTIF(I69:I88,"체")</f>
        <v>0</v>
      </c>
      <c r="W82" s="64" t="s">
        <v>26</v>
      </c>
      <c r="X82" s="64">
        <f>SUMIF(D69:D88,"체",F69:F88)</f>
        <v>0</v>
      </c>
      <c r="Y82" s="65">
        <f>SUMIF(I69:I88,"체",K69:K88)</f>
        <v>0</v>
      </c>
      <c r="Z82" s="64">
        <f>COUNTIF(AJ69:AJ88,"체국")+COUNTIF(AJ69:AJ88,"체공")</f>
        <v>0</v>
      </c>
      <c r="AA82" s="65">
        <f>COUNTIF(AK69:AK88,"체국")+COUNTIF(AK69:AK88,"체공")</f>
        <v>0</v>
      </c>
      <c r="AB82" s="64" t="s">
        <v>26</v>
      </c>
      <c r="AC82" s="64">
        <f>SUMIF(AJ69:AJ88,"체국",F69:F88)+SUMIF(AJ69:AJ88,"체공",F69:F88)</f>
        <v>0</v>
      </c>
      <c r="AD82" s="65">
        <f>SUMIF(AK69:AK88,"체국",K69:K88)+SUMIF(AK69:AK88,"체공",K69:K88)</f>
        <v>0</v>
      </c>
      <c r="AE82" s="64">
        <f t="shared" si="13"/>
        <v>0</v>
      </c>
      <c r="AF82" s="65">
        <f t="shared" si="13"/>
        <v>0</v>
      </c>
      <c r="AG82" s="64" t="s">
        <v>26</v>
      </c>
      <c r="AH82" s="64">
        <f t="shared" si="14"/>
        <v>0</v>
      </c>
      <c r="AI82" s="65">
        <f t="shared" si="14"/>
        <v>0</v>
      </c>
      <c r="AJ82" s="64" t="str">
        <f t="shared" si="15"/>
        <v/>
      </c>
      <c r="AK82" s="64" t="str">
        <f t="shared" si="16"/>
        <v/>
      </c>
      <c r="AL82" s="66"/>
      <c r="AM82" s="66"/>
    </row>
    <row r="83" spans="1:39" s="67" customFormat="1" ht="24.95" hidden="1" customHeight="1" x14ac:dyDescent="0.15">
      <c r="A83" s="348">
        <v>75</v>
      </c>
      <c r="B83" s="222"/>
      <c r="C83" s="133"/>
      <c r="D83" s="133"/>
      <c r="E83" s="177"/>
      <c r="F83" s="177"/>
      <c r="G83" s="417"/>
      <c r="H83" s="492"/>
      <c r="I83" s="492"/>
      <c r="J83" s="493"/>
      <c r="K83" s="493"/>
      <c r="L83" s="128"/>
      <c r="M83" s="128"/>
      <c r="N83" s="425"/>
      <c r="O83" s="425"/>
      <c r="P83" s="155"/>
      <c r="Q83" s="155"/>
      <c r="R83" s="155"/>
      <c r="S83" s="345"/>
      <c r="T83" s="64" t="s">
        <v>50</v>
      </c>
      <c r="U83" s="64">
        <f>COUNTIF(D69:D88,"공")</f>
        <v>0</v>
      </c>
      <c r="V83" s="65">
        <f>COUNTIF(I69:I88,"공")</f>
        <v>0</v>
      </c>
      <c r="W83" s="64" t="s">
        <v>26</v>
      </c>
      <c r="X83" s="64">
        <f>SUMIF(D69:D88,"공",F69:F88)</f>
        <v>0</v>
      </c>
      <c r="Y83" s="65">
        <f>SUMIF(I69:I88,"공",K69:K88)</f>
        <v>0</v>
      </c>
      <c r="Z83" s="64">
        <f>COUNTIF(AJ69:AJ88,"공국")+COUNTIF(AJ69:AJ88,"공공")</f>
        <v>0</v>
      </c>
      <c r="AA83" s="65">
        <f>COUNTIF(AK69:AK88,"공국")+COUNTIF(AK69:AK88,"공공")</f>
        <v>0</v>
      </c>
      <c r="AB83" s="64" t="s">
        <v>26</v>
      </c>
      <c r="AC83" s="64">
        <f>SUMIF(AJ69:AJ88,"공국",F69:F88)+SUMIF(AJ69:AJ88,"공공",F69:F88)</f>
        <v>0</v>
      </c>
      <c r="AD83" s="65">
        <f>SUMIF(AK69:AK88,"공국",K69:K88)+SUMIF(AK69:AK88,"공공",K69:K88)</f>
        <v>0</v>
      </c>
      <c r="AE83" s="64">
        <f t="shared" si="13"/>
        <v>0</v>
      </c>
      <c r="AF83" s="65">
        <f t="shared" si="13"/>
        <v>0</v>
      </c>
      <c r="AG83" s="64" t="s">
        <v>26</v>
      </c>
      <c r="AH83" s="64">
        <f t="shared" si="14"/>
        <v>0</v>
      </c>
      <c r="AI83" s="65">
        <f t="shared" si="14"/>
        <v>0</v>
      </c>
      <c r="AJ83" s="64" t="str">
        <f t="shared" si="15"/>
        <v/>
      </c>
      <c r="AK83" s="64" t="str">
        <f t="shared" si="16"/>
        <v/>
      </c>
      <c r="AL83" s="66"/>
      <c r="AM83" s="66"/>
    </row>
    <row r="84" spans="1:39" s="67" customFormat="1" ht="24.95" hidden="1" customHeight="1" x14ac:dyDescent="0.15">
      <c r="A84" s="348">
        <v>76</v>
      </c>
      <c r="B84" s="222"/>
      <c r="C84" s="133"/>
      <c r="D84" s="222"/>
      <c r="E84" s="177"/>
      <c r="F84" s="177"/>
      <c r="G84" s="417"/>
      <c r="H84" s="492"/>
      <c r="I84" s="492"/>
      <c r="J84" s="493"/>
      <c r="K84" s="493"/>
      <c r="L84" s="128"/>
      <c r="M84" s="128"/>
      <c r="N84" s="425"/>
      <c r="O84" s="425"/>
      <c r="P84" s="155"/>
      <c r="Q84" s="155"/>
      <c r="R84" s="155"/>
      <c r="S84" s="342"/>
      <c r="T84" s="70" t="s">
        <v>40</v>
      </c>
      <c r="U84" s="64">
        <f>COUNTIF(D69:D88,"장")</f>
        <v>0</v>
      </c>
      <c r="V84" s="65">
        <f>COUNTIF(I69:I88,"장")</f>
        <v>0</v>
      </c>
      <c r="W84" s="64" t="s">
        <v>26</v>
      </c>
      <c r="X84" s="64">
        <f>SUMIF(D69:D88,"장",F69:F88)</f>
        <v>0</v>
      </c>
      <c r="Y84" s="65">
        <f>SUMIF(I69:I88,"장",K69:K88)</f>
        <v>0</v>
      </c>
      <c r="Z84" s="64">
        <f>COUNTIF(AJ69:AJ88,"장국")+COUNTIF(AJ69:AJ88,"장공")</f>
        <v>0</v>
      </c>
      <c r="AA84" s="65">
        <f>COUNTIF(AK69:AK88,"장국")+COUNTIF(AK69:AK88,"장공")</f>
        <v>0</v>
      </c>
      <c r="AB84" s="64" t="s">
        <v>26</v>
      </c>
      <c r="AC84" s="64">
        <f>SUMIF(AJ69:AJ88,"장국",F69:F88)+SUMIF(AJ69:AJ88,"장공",F69:F88)</f>
        <v>0</v>
      </c>
      <c r="AD84" s="65">
        <f>SUMIF(AK69:AK88,"장국",K69:K88)+SUMIF(AK69:AK88,"장공",K69:K88)</f>
        <v>0</v>
      </c>
      <c r="AE84" s="64">
        <f t="shared" si="13"/>
        <v>0</v>
      </c>
      <c r="AF84" s="65">
        <f t="shared" si="13"/>
        <v>0</v>
      </c>
      <c r="AG84" s="64" t="s">
        <v>26</v>
      </c>
      <c r="AH84" s="64">
        <f t="shared" si="14"/>
        <v>0</v>
      </c>
      <c r="AI84" s="65">
        <f t="shared" si="14"/>
        <v>0</v>
      </c>
      <c r="AJ84" s="64" t="str">
        <f t="shared" si="15"/>
        <v/>
      </c>
      <c r="AK84" s="64" t="str">
        <f t="shared" si="16"/>
        <v/>
      </c>
      <c r="AL84" s="66"/>
      <c r="AM84" s="66"/>
    </row>
    <row r="85" spans="1:39" s="67" customFormat="1" ht="24.95" hidden="1" customHeight="1" x14ac:dyDescent="0.15">
      <c r="A85" s="348">
        <v>77</v>
      </c>
      <c r="B85" s="222"/>
      <c r="C85" s="133"/>
      <c r="D85" s="222"/>
      <c r="E85" s="177"/>
      <c r="F85" s="177"/>
      <c r="G85" s="417"/>
      <c r="H85" s="492"/>
      <c r="I85" s="492"/>
      <c r="J85" s="493"/>
      <c r="K85" s="493"/>
      <c r="L85" s="128"/>
      <c r="M85" s="128"/>
      <c r="N85" s="425"/>
      <c r="O85" s="425"/>
      <c r="P85" s="155"/>
      <c r="Q85" s="155"/>
      <c r="R85" s="155"/>
      <c r="S85" s="342"/>
      <c r="T85" s="70" t="s">
        <v>5</v>
      </c>
      <c r="U85" s="64">
        <f>COUNTIF(D69:D88,"목")</f>
        <v>0</v>
      </c>
      <c r="V85" s="65">
        <f>COUNTIF(I69:I88,"목")</f>
        <v>0</v>
      </c>
      <c r="W85" s="64" t="s">
        <v>26</v>
      </c>
      <c r="X85" s="64">
        <f>SUMIF(D69:D88,"목",F69:F88)</f>
        <v>0</v>
      </c>
      <c r="Y85" s="65">
        <f>SUMIF(I69:I88,"목",K69:K88)</f>
        <v>0</v>
      </c>
      <c r="Z85" s="64">
        <f>COUNTIF(AJ69:AJ88,"목국")+COUNTIF(AJ69:AJ88,"목공")</f>
        <v>0</v>
      </c>
      <c r="AA85" s="65">
        <f>COUNTIF(AK69:AK88,"목국")+COUNTIF(AK69:AK88,"목공")</f>
        <v>0</v>
      </c>
      <c r="AB85" s="64" t="s">
        <v>26</v>
      </c>
      <c r="AC85" s="64">
        <f>SUMIF(AJ69:AJ88,"목국",F69:F88)+SUMIF(AJ69:AJ88,"목공",F69:F88)</f>
        <v>0</v>
      </c>
      <c r="AD85" s="65">
        <f>SUMIF(AK69:AK88,"목국",K69:K88)+SUMIF(AK69:AK88,"목공",K69:K88)</f>
        <v>0</v>
      </c>
      <c r="AE85" s="64">
        <f t="shared" si="13"/>
        <v>0</v>
      </c>
      <c r="AF85" s="65">
        <f t="shared" si="13"/>
        <v>0</v>
      </c>
      <c r="AG85" s="64" t="s">
        <v>26</v>
      </c>
      <c r="AH85" s="64">
        <f t="shared" si="14"/>
        <v>0</v>
      </c>
      <c r="AI85" s="65">
        <f t="shared" si="14"/>
        <v>0</v>
      </c>
      <c r="AJ85" s="64" t="str">
        <f t="shared" si="15"/>
        <v/>
      </c>
      <c r="AK85" s="64" t="str">
        <f t="shared" si="16"/>
        <v/>
      </c>
      <c r="AL85" s="66"/>
      <c r="AM85" s="66"/>
    </row>
    <row r="86" spans="1:39" s="67" customFormat="1" ht="24.95" hidden="1" customHeight="1" x14ac:dyDescent="0.15">
      <c r="A86" s="348">
        <v>78</v>
      </c>
      <c r="B86" s="222"/>
      <c r="C86" s="133"/>
      <c r="D86" s="222"/>
      <c r="E86" s="177"/>
      <c r="F86" s="177"/>
      <c r="G86" s="417"/>
      <c r="H86" s="492"/>
      <c r="I86" s="492"/>
      <c r="J86" s="493"/>
      <c r="K86" s="493"/>
      <c r="L86" s="128"/>
      <c r="M86" s="128"/>
      <c r="N86" s="425"/>
      <c r="O86" s="425"/>
      <c r="P86" s="155"/>
      <c r="Q86" s="155"/>
      <c r="R86" s="155"/>
      <c r="S86" s="342"/>
      <c r="T86" s="70"/>
      <c r="U86" s="70"/>
      <c r="V86" s="71"/>
      <c r="W86" s="70"/>
      <c r="X86" s="70"/>
      <c r="Y86" s="71"/>
      <c r="Z86" s="64"/>
      <c r="AA86" s="65"/>
      <c r="AB86" s="70"/>
      <c r="AC86" s="64"/>
      <c r="AD86" s="65"/>
      <c r="AE86" s="70"/>
      <c r="AF86" s="71"/>
      <c r="AG86" s="70"/>
      <c r="AH86" s="70"/>
      <c r="AI86" s="71"/>
      <c r="AJ86" s="64" t="str">
        <f t="shared" si="15"/>
        <v/>
      </c>
      <c r="AK86" s="64" t="str">
        <f t="shared" si="16"/>
        <v/>
      </c>
      <c r="AL86" s="66"/>
      <c r="AM86" s="66"/>
    </row>
    <row r="87" spans="1:39" s="67" customFormat="1" ht="24.95" hidden="1" customHeight="1" x14ac:dyDescent="0.15">
      <c r="A87" s="349" t="s">
        <v>83</v>
      </c>
      <c r="B87" s="222"/>
      <c r="C87" s="133"/>
      <c r="D87" s="222"/>
      <c r="E87" s="177"/>
      <c r="F87" s="177"/>
      <c r="G87" s="417"/>
      <c r="H87" s="492"/>
      <c r="I87" s="492"/>
      <c r="J87" s="493"/>
      <c r="K87" s="493"/>
      <c r="L87" s="128"/>
      <c r="M87" s="128"/>
      <c r="N87" s="425"/>
      <c r="O87" s="429"/>
      <c r="P87" s="102"/>
      <c r="Q87" s="102"/>
      <c r="R87" s="102"/>
      <c r="S87" s="342"/>
      <c r="T87" s="70"/>
      <c r="U87" s="70"/>
      <c r="V87" s="71"/>
      <c r="W87" s="70"/>
      <c r="X87" s="70"/>
      <c r="Y87" s="71"/>
      <c r="Z87" s="64"/>
      <c r="AA87" s="65"/>
      <c r="AB87" s="70"/>
      <c r="AC87" s="64"/>
      <c r="AD87" s="65"/>
      <c r="AE87" s="70"/>
      <c r="AF87" s="71"/>
      <c r="AG87" s="70"/>
      <c r="AH87" s="70"/>
      <c r="AI87" s="71"/>
      <c r="AJ87" s="64" t="str">
        <f t="shared" si="15"/>
        <v/>
      </c>
      <c r="AK87" s="64" t="str">
        <f t="shared" si="16"/>
        <v/>
      </c>
      <c r="AL87" s="66"/>
      <c r="AM87" s="66"/>
    </row>
    <row r="88" spans="1:39" s="67" customFormat="1" ht="24.95" hidden="1" customHeight="1" x14ac:dyDescent="0.15">
      <c r="A88" s="348">
        <v>80</v>
      </c>
      <c r="B88" s="222"/>
      <c r="C88" s="133"/>
      <c r="D88" s="611"/>
      <c r="E88" s="177"/>
      <c r="F88" s="177"/>
      <c r="G88" s="417"/>
      <c r="H88" s="492"/>
      <c r="I88" s="492"/>
      <c r="J88" s="493"/>
      <c r="K88" s="493"/>
      <c r="L88" s="128"/>
      <c r="M88" s="128"/>
      <c r="N88" s="425"/>
      <c r="O88" s="425"/>
      <c r="P88" s="155"/>
      <c r="Q88" s="155"/>
      <c r="R88" s="155"/>
      <c r="S88" s="342"/>
      <c r="T88" s="72" t="s">
        <v>37</v>
      </c>
      <c r="U88" s="72">
        <f>COUNTIF(D69:D88,"철")</f>
        <v>0</v>
      </c>
      <c r="V88" s="73">
        <f>COUNTIF(I69:I88,"철")</f>
        <v>0</v>
      </c>
      <c r="W88" s="72" t="s">
        <v>26</v>
      </c>
      <c r="X88" s="72">
        <f>SUMIF(D69:D88,"철",F69:F88)</f>
        <v>0</v>
      </c>
      <c r="Y88" s="73">
        <f>SUMIF(I69:I88,"철",K69:K88)</f>
        <v>0</v>
      </c>
      <c r="Z88" s="64">
        <f>COUNTIF(AJ69:AJ88,"철국")+COUNTIF(AJ69:AJ88,"철공")</f>
        <v>0</v>
      </c>
      <c r="AA88" s="65">
        <f>COUNTIF(AK69:AK88,"철국")+COUNTIF(AK69:AK88,"철공")</f>
        <v>0</v>
      </c>
      <c r="AB88" s="72" t="s">
        <v>26</v>
      </c>
      <c r="AC88" s="64">
        <f>SUMIF(AJ69:AJ88,"철국",F69:F88)+SUMIF(AJ69:AJ88,"철공",F69:F88)</f>
        <v>0</v>
      </c>
      <c r="AD88" s="65">
        <f>SUMIF(AK69:AK88,"철국",K69:K88)+SUMIF(AK69:AK88,"철공",K69:K88)</f>
        <v>0</v>
      </c>
      <c r="AE88" s="72"/>
      <c r="AF88" s="73"/>
      <c r="AG88" s="72"/>
      <c r="AH88" s="72"/>
      <c r="AI88" s="73"/>
      <c r="AJ88" s="64" t="str">
        <f t="shared" si="15"/>
        <v/>
      </c>
      <c r="AK88" s="64" t="str">
        <f t="shared" si="16"/>
        <v/>
      </c>
      <c r="AL88" s="66"/>
      <c r="AM88" s="66"/>
    </row>
    <row r="89" spans="1:39" s="57" customFormat="1" ht="24" hidden="1" customHeight="1" thickBot="1" x14ac:dyDescent="0.2">
      <c r="A89" s="147" t="s">
        <v>48</v>
      </c>
      <c r="B89" s="148"/>
      <c r="C89" s="148"/>
      <c r="D89" s="148"/>
      <c r="E89" s="148"/>
      <c r="F89" s="149">
        <f>SUM(F69:F88)</f>
        <v>0</v>
      </c>
      <c r="G89" s="496"/>
      <c r="H89" s="496"/>
      <c r="I89" s="497"/>
      <c r="J89" s="516"/>
      <c r="K89" s="529">
        <f>SUM(K69:K88)</f>
        <v>0</v>
      </c>
      <c r="L89" s="150"/>
      <c r="M89" s="150"/>
      <c r="N89" s="432"/>
      <c r="O89" s="432"/>
      <c r="P89" s="150"/>
      <c r="Q89" s="150"/>
      <c r="R89" s="150"/>
      <c r="S89" s="151"/>
      <c r="T89" s="62" t="s">
        <v>24</v>
      </c>
      <c r="U89" s="63">
        <f t="shared" ref="U89:AA89" si="17">SUM(U69:U88)</f>
        <v>0</v>
      </c>
      <c r="V89" s="63">
        <f t="shared" si="17"/>
        <v>0</v>
      </c>
      <c r="W89" s="63">
        <f t="shared" si="17"/>
        <v>0</v>
      </c>
      <c r="X89" s="63">
        <f t="shared" si="17"/>
        <v>0</v>
      </c>
      <c r="Y89" s="63">
        <f t="shared" si="17"/>
        <v>0</v>
      </c>
      <c r="Z89" s="277">
        <f t="shared" si="17"/>
        <v>0</v>
      </c>
      <c r="AA89" s="278">
        <f t="shared" si="17"/>
        <v>0</v>
      </c>
      <c r="AB89" s="277" t="s">
        <v>26</v>
      </c>
      <c r="AC89" s="277">
        <f>SUM(AC69:AC88)</f>
        <v>0</v>
      </c>
      <c r="AD89" s="278">
        <f>SUM(AD69:AD88)</f>
        <v>0</v>
      </c>
      <c r="AE89" s="63">
        <f>SUM(AE69:AE88)</f>
        <v>0</v>
      </c>
      <c r="AF89" s="63">
        <f>SUM(AF69:AF88)</f>
        <v>0</v>
      </c>
      <c r="AG89" s="63" t="s">
        <v>26</v>
      </c>
      <c r="AH89" s="63">
        <f>SUM(AH69:AH88)</f>
        <v>0</v>
      </c>
      <c r="AI89" s="63">
        <f>SUM(AI69:AI88)</f>
        <v>0</v>
      </c>
      <c r="AJ89" s="63"/>
      <c r="AK89" s="64" t="str">
        <f t="shared" si="16"/>
        <v/>
      </c>
    </row>
    <row r="90" spans="1:39" s="67" customFormat="1" ht="24" hidden="1" customHeight="1" x14ac:dyDescent="0.15">
      <c r="A90" s="159">
        <v>81</v>
      </c>
      <c r="B90" s="318"/>
      <c r="C90" s="216"/>
      <c r="D90" s="140"/>
      <c r="E90" s="142"/>
      <c r="F90" s="369"/>
      <c r="G90" s="488"/>
      <c r="H90" s="501"/>
      <c r="I90" s="502"/>
      <c r="J90" s="490"/>
      <c r="K90" s="488"/>
      <c r="L90" s="144"/>
      <c r="M90" s="144"/>
      <c r="N90" s="438"/>
      <c r="O90" s="438"/>
      <c r="P90" s="158"/>
      <c r="Q90" s="158"/>
      <c r="R90" s="158"/>
      <c r="S90" s="358"/>
      <c r="T90" s="64" t="s">
        <v>27</v>
      </c>
      <c r="U90" s="64">
        <f>COUNTIF(D90:D109,"전")</f>
        <v>0</v>
      </c>
      <c r="V90" s="65">
        <f>COUNTIF(I90:I109,"전")</f>
        <v>0</v>
      </c>
      <c r="W90" s="64" t="s">
        <v>26</v>
      </c>
      <c r="X90" s="64">
        <f>SUMIF(D90:D109,"전",F90:F109)</f>
        <v>0</v>
      </c>
      <c r="Y90" s="65">
        <f>SUMIF(I90:I109,"전",K90:K109)</f>
        <v>0</v>
      </c>
      <c r="Z90" s="64">
        <f>COUNTIF(AJ90:AJ109,"전국")+COUNTIF(AJ90:AJ109,"전공")</f>
        <v>0</v>
      </c>
      <c r="AA90" s="65">
        <f>COUNTIF(AK90:AK109,"전국")+COUNTIF(AK90:AK109,"전공")</f>
        <v>0</v>
      </c>
      <c r="AB90" s="64" t="s">
        <v>26</v>
      </c>
      <c r="AC90" s="64">
        <f>SUMIF(AJ90:AJ109,"전국",F90:F109)+SUMIF(AJ90:AJ109,"전공",F90:F109)</f>
        <v>0</v>
      </c>
      <c r="AD90" s="65">
        <f>SUMIF(AK90:AK109,"전국",K90:K109)+SUMIF(AK90:AK109,"전공",K90:K109)</f>
        <v>0</v>
      </c>
      <c r="AE90" s="64">
        <f t="shared" ref="AE90:AF106" si="18">U90-Z90</f>
        <v>0</v>
      </c>
      <c r="AF90" s="65">
        <f t="shared" si="18"/>
        <v>0</v>
      </c>
      <c r="AG90" s="64" t="s">
        <v>26</v>
      </c>
      <c r="AH90" s="64">
        <f t="shared" ref="AH90:AI106" si="19">X90-AC90</f>
        <v>0</v>
      </c>
      <c r="AI90" s="65">
        <f t="shared" si="19"/>
        <v>0</v>
      </c>
      <c r="AJ90" s="64" t="str">
        <f t="shared" ref="AJ90:AJ109" si="20">CONCATENATE(D90,L90)</f>
        <v/>
      </c>
      <c r="AK90" s="64" t="str">
        <f t="shared" si="16"/>
        <v/>
      </c>
    </row>
    <row r="91" spans="1:39" s="67" customFormat="1" ht="24" hidden="1" customHeight="1" x14ac:dyDescent="0.15">
      <c r="A91" s="348">
        <v>82</v>
      </c>
      <c r="B91" s="222"/>
      <c r="C91" s="133"/>
      <c r="D91" s="133"/>
      <c r="E91" s="177"/>
      <c r="F91" s="177"/>
      <c r="G91" s="417"/>
      <c r="H91" s="492"/>
      <c r="I91" s="492"/>
      <c r="J91" s="493"/>
      <c r="K91" s="493"/>
      <c r="L91" s="128"/>
      <c r="M91" s="128"/>
      <c r="N91" s="425"/>
      <c r="O91" s="425"/>
      <c r="P91" s="155"/>
      <c r="Q91" s="155"/>
      <c r="R91" s="155"/>
      <c r="S91" s="342"/>
      <c r="T91" s="64" t="s">
        <v>28</v>
      </c>
      <c r="U91" s="64">
        <f>COUNTIF(D90:D109,"답")</f>
        <v>0</v>
      </c>
      <c r="V91" s="65">
        <f>COUNTIF(I90:I109,"답")</f>
        <v>0</v>
      </c>
      <c r="W91" s="64" t="s">
        <v>26</v>
      </c>
      <c r="X91" s="64">
        <f>SUMIF(D90:D109,"답",F90:F109)</f>
        <v>0</v>
      </c>
      <c r="Y91" s="65">
        <f>SUMIF(I90:I109,"답",K90:K109)</f>
        <v>0</v>
      </c>
      <c r="Z91" s="64">
        <f>COUNTIF(AJ90:AJ109,"답국")+COUNTIF(AJ90:AJ109,"답공")</f>
        <v>0</v>
      </c>
      <c r="AA91" s="65">
        <f>COUNTIF(AK90:AK109,"답국")+COUNTIF(AK90:AK109,"답공")</f>
        <v>0</v>
      </c>
      <c r="AB91" s="64" t="s">
        <v>26</v>
      </c>
      <c r="AC91" s="64">
        <f>SUMIF(AJ90:AJ109,"답국",F90:F109)+SUMIF(AJ90:AJ109,"답공",F90:F109)</f>
        <v>0</v>
      </c>
      <c r="AD91" s="65">
        <f>SUMIF(AK90:AK109,"답국",K90:K109)+SUMIF(AK90:AK109,"답공",K90:K109)</f>
        <v>0</v>
      </c>
      <c r="AE91" s="64">
        <f t="shared" si="18"/>
        <v>0</v>
      </c>
      <c r="AF91" s="65">
        <f t="shared" si="18"/>
        <v>0</v>
      </c>
      <c r="AG91" s="64" t="s">
        <v>26</v>
      </c>
      <c r="AH91" s="64">
        <f t="shared" si="19"/>
        <v>0</v>
      </c>
      <c r="AI91" s="65">
        <f t="shared" si="19"/>
        <v>0</v>
      </c>
      <c r="AJ91" s="64" t="str">
        <f t="shared" si="20"/>
        <v/>
      </c>
      <c r="AK91" s="64" t="str">
        <f t="shared" si="16"/>
        <v/>
      </c>
    </row>
    <row r="92" spans="1:39" s="67" customFormat="1" ht="24" hidden="1" customHeight="1" x14ac:dyDescent="0.15">
      <c r="A92" s="348">
        <v>83</v>
      </c>
      <c r="B92" s="222"/>
      <c r="C92" s="133"/>
      <c r="D92" s="611"/>
      <c r="E92" s="177"/>
      <c r="F92" s="177"/>
      <c r="G92" s="417"/>
      <c r="H92" s="492"/>
      <c r="I92" s="492"/>
      <c r="J92" s="493"/>
      <c r="K92" s="493"/>
      <c r="L92" s="128"/>
      <c r="M92" s="128"/>
      <c r="N92" s="425"/>
      <c r="O92" s="425"/>
      <c r="P92" s="155"/>
      <c r="Q92" s="155"/>
      <c r="R92" s="155"/>
      <c r="S92" s="342"/>
      <c r="T92" s="64" t="s">
        <v>44</v>
      </c>
      <c r="U92" s="64">
        <f>COUNTIF(D90:D109,"임")</f>
        <v>0</v>
      </c>
      <c r="V92" s="65">
        <f>COUNTIF(I90:I109,"임")</f>
        <v>0</v>
      </c>
      <c r="W92" s="64" t="s">
        <v>26</v>
      </c>
      <c r="X92" s="64">
        <f>SUMIF(D90:D109,"임",F90:F109)</f>
        <v>0</v>
      </c>
      <c r="Y92" s="65">
        <f>SUMIF(I90:I109,"임",K90:K109)</f>
        <v>0</v>
      </c>
      <c r="Z92" s="64">
        <f>COUNTIF(AJ90:AJ109,"임국")+COUNTIF(AJ90:AJ109,"임공")</f>
        <v>0</v>
      </c>
      <c r="AA92" s="65">
        <f>COUNTIF(AK90:AK109,"임국")+COUNTIF(AK90:AK109,"임공")</f>
        <v>0</v>
      </c>
      <c r="AB92" s="64" t="s">
        <v>26</v>
      </c>
      <c r="AC92" s="64">
        <f>SUMIF(AJ90:AJ109,"임국",F90:F109)+SUMIF(AJ90:AJ109,"임공",F90:F109)</f>
        <v>0</v>
      </c>
      <c r="AD92" s="65">
        <f>SUMIF(AK90:AK109,"임국",K90:K109)+SUMIF(AK90:AK109,"임공",K90:K109)</f>
        <v>0</v>
      </c>
      <c r="AE92" s="64">
        <f t="shared" si="18"/>
        <v>0</v>
      </c>
      <c r="AF92" s="65">
        <f t="shared" si="18"/>
        <v>0</v>
      </c>
      <c r="AG92" s="64" t="s">
        <v>26</v>
      </c>
      <c r="AH92" s="64">
        <f t="shared" si="19"/>
        <v>0</v>
      </c>
      <c r="AI92" s="65">
        <f t="shared" si="19"/>
        <v>0</v>
      </c>
      <c r="AJ92" s="64" t="str">
        <f t="shared" si="20"/>
        <v/>
      </c>
      <c r="AK92" s="64" t="str">
        <f t="shared" si="16"/>
        <v/>
      </c>
      <c r="AL92" s="66"/>
      <c r="AM92" s="66"/>
    </row>
    <row r="93" spans="1:39" s="67" customFormat="1" ht="24" hidden="1" customHeight="1" x14ac:dyDescent="0.15">
      <c r="A93" s="348">
        <v>84</v>
      </c>
      <c r="B93" s="222"/>
      <c r="C93" s="133"/>
      <c r="D93" s="611"/>
      <c r="E93" s="177"/>
      <c r="F93" s="177"/>
      <c r="G93" s="417"/>
      <c r="H93" s="492"/>
      <c r="I93" s="492"/>
      <c r="J93" s="493"/>
      <c r="K93" s="493"/>
      <c r="L93" s="128"/>
      <c r="M93" s="128"/>
      <c r="N93" s="425"/>
      <c r="O93" s="425"/>
      <c r="P93" s="155"/>
      <c r="Q93" s="155"/>
      <c r="R93" s="155"/>
      <c r="S93" s="342"/>
      <c r="T93" s="64" t="s">
        <v>45</v>
      </c>
      <c r="U93" s="64">
        <f>COUNTIF(D90:D109,"대")</f>
        <v>0</v>
      </c>
      <c r="V93" s="65">
        <f>COUNTIF(I90:I109,"대")</f>
        <v>0</v>
      </c>
      <c r="W93" s="64" t="s">
        <v>26</v>
      </c>
      <c r="X93" s="64">
        <f>SUMIF(D90:D109,"대",F90:F109)</f>
        <v>0</v>
      </c>
      <c r="Y93" s="65">
        <f>SUMIF(I90:I109,"대",K90:K109)</f>
        <v>0</v>
      </c>
      <c r="Z93" s="64">
        <f>COUNTIF(AJ90:AJ109,"대국")+COUNTIF(AJ90:AJ109,"대공")</f>
        <v>0</v>
      </c>
      <c r="AA93" s="65">
        <f>COUNTIF(AK90:AK109,"대국")+COUNTIF(AK90:AK109,"대공")</f>
        <v>0</v>
      </c>
      <c r="AB93" s="64" t="s">
        <v>26</v>
      </c>
      <c r="AC93" s="64">
        <f>SUMIF(AJ90:AJ109,"대국",F90:F109)+SUMIF(AJ90:AJ109,"대공",F90:F109)</f>
        <v>0</v>
      </c>
      <c r="AD93" s="65">
        <f>SUMIF(AK90:AK109,"대국",K90:K109)+SUMIF(AK90:AK109,"대공",K90:K109)</f>
        <v>0</v>
      </c>
      <c r="AE93" s="64">
        <f t="shared" si="18"/>
        <v>0</v>
      </c>
      <c r="AF93" s="65">
        <f t="shared" si="18"/>
        <v>0</v>
      </c>
      <c r="AG93" s="64" t="s">
        <v>26</v>
      </c>
      <c r="AH93" s="64">
        <f t="shared" si="19"/>
        <v>0</v>
      </c>
      <c r="AI93" s="65">
        <f t="shared" si="19"/>
        <v>0</v>
      </c>
      <c r="AJ93" s="64" t="str">
        <f t="shared" si="20"/>
        <v/>
      </c>
      <c r="AK93" s="64" t="str">
        <f t="shared" si="16"/>
        <v/>
      </c>
      <c r="AL93" s="66"/>
      <c r="AM93" s="66"/>
    </row>
    <row r="94" spans="1:39" s="67" customFormat="1" ht="24" hidden="1" customHeight="1" x14ac:dyDescent="0.15">
      <c r="A94" s="348">
        <v>85</v>
      </c>
      <c r="B94" s="222"/>
      <c r="C94" s="229"/>
      <c r="D94" s="235"/>
      <c r="E94" s="357"/>
      <c r="F94" s="357"/>
      <c r="G94" s="417"/>
      <c r="H94" s="498"/>
      <c r="I94" s="504"/>
      <c r="J94" s="417"/>
      <c r="K94" s="417"/>
      <c r="L94" s="370"/>
      <c r="M94" s="367"/>
      <c r="N94" s="524"/>
      <c r="O94" s="521"/>
      <c r="P94" s="155"/>
      <c r="Q94" s="155"/>
      <c r="R94" s="155"/>
      <c r="S94" s="342"/>
      <c r="T94" s="64" t="s">
        <v>31</v>
      </c>
      <c r="U94" s="64">
        <f>COUNTIF(D90:D109,"도")</f>
        <v>0</v>
      </c>
      <c r="V94" s="65">
        <f>COUNTIF(I90:I109,"도")</f>
        <v>0</v>
      </c>
      <c r="W94" s="64" t="s">
        <v>26</v>
      </c>
      <c r="X94" s="64">
        <f>SUMIF(D90:D109,"도",F90:F109)</f>
        <v>0</v>
      </c>
      <c r="Y94" s="65">
        <f>SUMIF(I90:I109,"도",K90:K109)</f>
        <v>0</v>
      </c>
      <c r="Z94" s="64">
        <f>COUNTIF(AJ90:AJ109,"도국")+COUNTIF(AJ90:AJ109,"도공")</f>
        <v>0</v>
      </c>
      <c r="AA94" s="65">
        <f>COUNTIF(AK90:AK109,"도국")+COUNTIF(AK90:AK109,"도공")</f>
        <v>0</v>
      </c>
      <c r="AB94" s="64" t="s">
        <v>26</v>
      </c>
      <c r="AC94" s="64">
        <f>SUMIF(AJ90:AJ109,"도국",F90:F109)+SUMIF(AJ90:AJ109,"도공",F90:F109)</f>
        <v>0</v>
      </c>
      <c r="AD94" s="65">
        <f>SUMIF(AK90:AK109,"도국",K90:K109)+SUMIF(AK90:AK109,"도공",K90:K109)</f>
        <v>0</v>
      </c>
      <c r="AE94" s="64">
        <f t="shared" si="18"/>
        <v>0</v>
      </c>
      <c r="AF94" s="65">
        <f t="shared" si="18"/>
        <v>0</v>
      </c>
      <c r="AG94" s="64" t="s">
        <v>26</v>
      </c>
      <c r="AH94" s="64">
        <f t="shared" si="19"/>
        <v>0</v>
      </c>
      <c r="AI94" s="65">
        <f t="shared" si="19"/>
        <v>0</v>
      </c>
      <c r="AJ94" s="64" t="str">
        <f t="shared" si="20"/>
        <v/>
      </c>
      <c r="AK94" s="64" t="str">
        <f t="shared" si="16"/>
        <v/>
      </c>
      <c r="AL94" s="66"/>
      <c r="AM94" s="66"/>
    </row>
    <row r="95" spans="1:39" s="67" customFormat="1" ht="24" hidden="1" customHeight="1" x14ac:dyDescent="0.15">
      <c r="A95" s="349" t="s">
        <v>85</v>
      </c>
      <c r="B95" s="222"/>
      <c r="C95" s="136"/>
      <c r="D95" s="133"/>
      <c r="E95" s="134"/>
      <c r="F95" s="177"/>
      <c r="G95" s="417"/>
      <c r="H95" s="347"/>
      <c r="I95" s="492"/>
      <c r="J95" s="344"/>
      <c r="K95" s="493"/>
      <c r="L95" s="128"/>
      <c r="M95" s="155"/>
      <c r="N95" s="425"/>
      <c r="O95" s="439"/>
      <c r="P95" s="102"/>
      <c r="Q95" s="102"/>
      <c r="R95" s="102"/>
      <c r="S95" s="342"/>
      <c r="T95" s="64" t="s">
        <v>32</v>
      </c>
      <c r="U95" s="68">
        <f>COUNTIF(D90:D109,"천")</f>
        <v>0</v>
      </c>
      <c r="V95" s="69">
        <f>COUNTIF(I90:I109,"천")</f>
        <v>0</v>
      </c>
      <c r="W95" s="64" t="s">
        <v>26</v>
      </c>
      <c r="X95" s="64">
        <f>SUMIF(D90:D109,"천",F90:F109)</f>
        <v>0</v>
      </c>
      <c r="Y95" s="65">
        <f>SUMIF(I90:I109,"천",K90:K109)</f>
        <v>0</v>
      </c>
      <c r="Z95" s="64">
        <f>COUNTIF(AJ90:AJ109,"천국")+COUNTIF(AJ90:AJ109,"천공")</f>
        <v>0</v>
      </c>
      <c r="AA95" s="65">
        <f>COUNTIF(AK90:AK109,"천국")+COUNTIF(AK90:AK109,"천공")</f>
        <v>0</v>
      </c>
      <c r="AB95" s="64" t="s">
        <v>26</v>
      </c>
      <c r="AC95" s="64">
        <f>SUMIF(AJ90:AJ109,"천국",F90:F109)+SUMIF(AJ90:AJ109,"천공",F90:F109)</f>
        <v>0</v>
      </c>
      <c r="AD95" s="65">
        <f>SUMIF(AK90:AK109,"천국",K90:K109)+SUMIF(AK90:AK109,"천공",K90:K109)</f>
        <v>0</v>
      </c>
      <c r="AE95" s="64">
        <f t="shared" si="18"/>
        <v>0</v>
      </c>
      <c r="AF95" s="65">
        <f t="shared" si="18"/>
        <v>0</v>
      </c>
      <c r="AG95" s="64" t="s">
        <v>26</v>
      </c>
      <c r="AH95" s="64">
        <f t="shared" si="19"/>
        <v>0</v>
      </c>
      <c r="AI95" s="65">
        <f t="shared" si="19"/>
        <v>0</v>
      </c>
      <c r="AJ95" s="64" t="str">
        <f t="shared" si="20"/>
        <v/>
      </c>
      <c r="AK95" s="64" t="str">
        <f t="shared" si="16"/>
        <v/>
      </c>
      <c r="AL95" s="66"/>
      <c r="AM95" s="66"/>
    </row>
    <row r="96" spans="1:39" s="67" customFormat="1" ht="24" hidden="1" customHeight="1" x14ac:dyDescent="0.15">
      <c r="A96" s="348">
        <v>87</v>
      </c>
      <c r="B96" s="222"/>
      <c r="C96" s="229"/>
      <c r="D96" s="235"/>
      <c r="E96" s="357"/>
      <c r="F96" s="357"/>
      <c r="G96" s="417"/>
      <c r="H96" s="498"/>
      <c r="I96" s="504"/>
      <c r="J96" s="417"/>
      <c r="K96" s="417"/>
      <c r="L96" s="372"/>
      <c r="M96" s="367"/>
      <c r="N96" s="525"/>
      <c r="O96" s="521"/>
      <c r="P96" s="102"/>
      <c r="Q96" s="102"/>
      <c r="R96" s="102"/>
      <c r="S96" s="342"/>
      <c r="T96" s="64" t="s">
        <v>33</v>
      </c>
      <c r="U96" s="64">
        <f>COUNTIF(D90:D109,"구")</f>
        <v>0</v>
      </c>
      <c r="V96" s="65">
        <f>COUNTIF(I90:I109,"구")</f>
        <v>0</v>
      </c>
      <c r="W96" s="64" t="s">
        <v>26</v>
      </c>
      <c r="X96" s="64">
        <f>SUMIF(D90:D109,"구",F90:F109)</f>
        <v>0</v>
      </c>
      <c r="Y96" s="65">
        <f>SUMIF(I90:I109,"구",K90:K109)</f>
        <v>0</v>
      </c>
      <c r="Z96" s="64">
        <f>COUNTIF(AJ90:AJ109,"구국")+COUNTIF(AJ90:AJ109,"구공")</f>
        <v>0</v>
      </c>
      <c r="AA96" s="65">
        <f>COUNTIF(AK90:AK109,"구국")+COUNTIF(AK90:AK109,"구공")</f>
        <v>0</v>
      </c>
      <c r="AB96" s="64" t="s">
        <v>26</v>
      </c>
      <c r="AC96" s="64">
        <f>SUMIF(AJ90:AJ109,"구국",F90:F109)+SUMIF(AJ90:AJ109,"구공",F90:F109)</f>
        <v>0</v>
      </c>
      <c r="AD96" s="65">
        <f>SUMIF(AK90:AK109,"구국",K90:K109)+SUMIF(AK90:AK109,"구공",K90:K109)</f>
        <v>0</v>
      </c>
      <c r="AE96" s="64">
        <f t="shared" si="18"/>
        <v>0</v>
      </c>
      <c r="AF96" s="65">
        <f t="shared" si="18"/>
        <v>0</v>
      </c>
      <c r="AG96" s="64" t="s">
        <v>26</v>
      </c>
      <c r="AH96" s="64">
        <f t="shared" si="19"/>
        <v>0</v>
      </c>
      <c r="AI96" s="65">
        <f t="shared" si="19"/>
        <v>0</v>
      </c>
      <c r="AJ96" s="64" t="str">
        <f t="shared" si="20"/>
        <v/>
      </c>
      <c r="AK96" s="64" t="str">
        <f t="shared" si="16"/>
        <v/>
      </c>
      <c r="AL96" s="66"/>
      <c r="AM96" s="66"/>
    </row>
    <row r="97" spans="1:39" s="67" customFormat="1" ht="24" hidden="1" customHeight="1" x14ac:dyDescent="0.15">
      <c r="A97" s="348">
        <v>88</v>
      </c>
      <c r="B97" s="222"/>
      <c r="C97" s="133"/>
      <c r="D97" s="133"/>
      <c r="E97" s="177"/>
      <c r="F97" s="177"/>
      <c r="G97" s="417"/>
      <c r="H97" s="492"/>
      <c r="I97" s="492"/>
      <c r="J97" s="493"/>
      <c r="K97" s="493"/>
      <c r="L97" s="128"/>
      <c r="M97" s="128"/>
      <c r="N97" s="425"/>
      <c r="O97" s="425"/>
      <c r="P97" s="203"/>
      <c r="Q97" s="203"/>
      <c r="R97" s="203"/>
      <c r="S97" s="342"/>
      <c r="T97" s="64" t="s">
        <v>34</v>
      </c>
      <c r="U97" s="64">
        <f>COUNTIF(D90:D109,"제")</f>
        <v>0</v>
      </c>
      <c r="V97" s="65">
        <f>COUNTIF(I90:I109,"제")</f>
        <v>0</v>
      </c>
      <c r="W97" s="64" t="s">
        <v>26</v>
      </c>
      <c r="X97" s="64">
        <f>SUMIF(D90:D109,"제",F90:F109)</f>
        <v>0</v>
      </c>
      <c r="Y97" s="65">
        <f>SUMIF(I90:I109,"제",K90:K109)</f>
        <v>0</v>
      </c>
      <c r="Z97" s="64">
        <f>COUNTIF(AJ90:AJ109,"제국")+COUNTIF(AJ90:AJ109,"제공")</f>
        <v>0</v>
      </c>
      <c r="AA97" s="65">
        <f>COUNTIF(AK90:AK109,"제국")+COUNTIF(AK90:AK109,"제공")</f>
        <v>0</v>
      </c>
      <c r="AB97" s="64" t="s">
        <v>26</v>
      </c>
      <c r="AC97" s="64">
        <f>SUMIF(AJ90:AJ109,"제국",F90:F109)+SUMIF(AJ90:AJ109,"제공",F90:F109)</f>
        <v>0</v>
      </c>
      <c r="AD97" s="65">
        <f>SUMIF(AK90:AK109,"제국",K90:K109)+SUMIF(AK90:AK109,"제공",K90:K109)</f>
        <v>0</v>
      </c>
      <c r="AE97" s="64">
        <f t="shared" si="18"/>
        <v>0</v>
      </c>
      <c r="AF97" s="65">
        <f t="shared" si="18"/>
        <v>0</v>
      </c>
      <c r="AG97" s="64" t="s">
        <v>26</v>
      </c>
      <c r="AH97" s="64">
        <f t="shared" si="19"/>
        <v>0</v>
      </c>
      <c r="AI97" s="65">
        <f t="shared" si="19"/>
        <v>0</v>
      </c>
      <c r="AJ97" s="64" t="str">
        <f t="shared" si="20"/>
        <v/>
      </c>
      <c r="AK97" s="64" t="str">
        <f t="shared" si="16"/>
        <v/>
      </c>
      <c r="AL97" s="66"/>
      <c r="AM97" s="66"/>
    </row>
    <row r="98" spans="1:39" s="67" customFormat="1" ht="24" hidden="1" customHeight="1" x14ac:dyDescent="0.15">
      <c r="A98" s="348">
        <v>89</v>
      </c>
      <c r="B98" s="222"/>
      <c r="C98" s="611"/>
      <c r="D98" s="191"/>
      <c r="E98" s="602"/>
      <c r="F98" s="602"/>
      <c r="G98" s="600"/>
      <c r="H98" s="612"/>
      <c r="I98" s="613"/>
      <c r="J98" s="600"/>
      <c r="K98" s="600"/>
      <c r="L98" s="193"/>
      <c r="M98" s="193"/>
      <c r="N98" s="440"/>
      <c r="O98" s="440"/>
      <c r="P98" s="102"/>
      <c r="Q98" s="102"/>
      <c r="R98" s="102"/>
      <c r="S98" s="342"/>
      <c r="T98" s="64" t="s">
        <v>46</v>
      </c>
      <c r="U98" s="64">
        <f>COUNTIF(D90:D109,"유")</f>
        <v>0</v>
      </c>
      <c r="V98" s="65">
        <f>COUNTIF(I90:I109,"유")</f>
        <v>0</v>
      </c>
      <c r="W98" s="64" t="s">
        <v>26</v>
      </c>
      <c r="X98" s="64">
        <f>SUMIF(D90:D109,"유",F90:F109)</f>
        <v>0</v>
      </c>
      <c r="Y98" s="65">
        <f>SUMIF(I90:I109,"유",K90:K109)</f>
        <v>0</v>
      </c>
      <c r="Z98" s="64">
        <f>COUNTIF(AJ90:AJ109,"유국")+COUNTIF(AJ90:AJ109,"유공")</f>
        <v>0</v>
      </c>
      <c r="AA98" s="65">
        <f>COUNTIF(AK90:AK109,"유국")+COUNTIF(AK90:AK109,"유공")</f>
        <v>0</v>
      </c>
      <c r="AB98" s="64" t="s">
        <v>26</v>
      </c>
      <c r="AC98" s="64">
        <f>SUMIF(AJ90:AJ109,"유국",F90:F109)+SUMIF(AJ90:AJ109,"유공",F90:F109)</f>
        <v>0</v>
      </c>
      <c r="AD98" s="65">
        <f>SUMIF(AK90:AK109,"유국",K90:K109)+SUMIF(AK90:AK109,"유공",K90:K109)</f>
        <v>0</v>
      </c>
      <c r="AE98" s="64">
        <f t="shared" si="18"/>
        <v>0</v>
      </c>
      <c r="AF98" s="65">
        <f t="shared" si="18"/>
        <v>0</v>
      </c>
      <c r="AG98" s="64" t="s">
        <v>26</v>
      </c>
      <c r="AH98" s="64">
        <f t="shared" si="19"/>
        <v>0</v>
      </c>
      <c r="AI98" s="65">
        <f t="shared" si="19"/>
        <v>0</v>
      </c>
      <c r="AJ98" s="64" t="str">
        <f t="shared" si="20"/>
        <v/>
      </c>
      <c r="AK98" s="64" t="str">
        <f t="shared" si="16"/>
        <v/>
      </c>
      <c r="AL98" s="66"/>
      <c r="AM98" s="66"/>
    </row>
    <row r="99" spans="1:39" s="67" customFormat="1" ht="24" hidden="1" customHeight="1" x14ac:dyDescent="0.15">
      <c r="A99" s="348">
        <v>90</v>
      </c>
      <c r="B99" s="222"/>
      <c r="C99" s="222"/>
      <c r="D99" s="222"/>
      <c r="E99" s="177"/>
      <c r="F99" s="177"/>
      <c r="G99" s="417"/>
      <c r="H99" s="346"/>
      <c r="I99" s="346"/>
      <c r="J99" s="493"/>
      <c r="K99" s="493"/>
      <c r="L99" s="128"/>
      <c r="M99" s="128"/>
      <c r="N99" s="425"/>
      <c r="O99" s="425"/>
      <c r="P99" s="203"/>
      <c r="Q99" s="203"/>
      <c r="R99" s="203"/>
      <c r="S99" s="345"/>
      <c r="T99" s="64" t="s">
        <v>47</v>
      </c>
      <c r="U99" s="64">
        <f>COUNTIF(D90:D109,"과")</f>
        <v>0</v>
      </c>
      <c r="V99" s="65">
        <f>COUNTIF(I90:I109,"과")</f>
        <v>0</v>
      </c>
      <c r="W99" s="64" t="s">
        <v>26</v>
      </c>
      <c r="X99" s="64">
        <f>SUMIF(D90:D109,"과",F90:F109)</f>
        <v>0</v>
      </c>
      <c r="Y99" s="65">
        <f>SUMIF(I90:I109,"과",K90:K109)</f>
        <v>0</v>
      </c>
      <c r="Z99" s="64">
        <f>COUNTIF(AJ90:AJ109,"과국")+COUNTIF(AJ90:AJ109,"과공")</f>
        <v>0</v>
      </c>
      <c r="AA99" s="65">
        <f>COUNTIF(AK90:AK109,"과국")+COUNTIF(AK90:AK109,"과공")</f>
        <v>0</v>
      </c>
      <c r="AB99" s="64" t="s">
        <v>26</v>
      </c>
      <c r="AC99" s="64">
        <f>SUMIF(AJ90:AJ109,"과국",F90:F109)+SUMIF(AJ90:AJ109,"과공",F90:F109)</f>
        <v>0</v>
      </c>
      <c r="AD99" s="65">
        <f>SUMIF(AK90:AK109,"과국",K90:K109)+SUMIF(AK90:AK109,"과공",K90:K109)</f>
        <v>0</v>
      </c>
      <c r="AE99" s="64">
        <f t="shared" si="18"/>
        <v>0</v>
      </c>
      <c r="AF99" s="65">
        <f t="shared" si="18"/>
        <v>0</v>
      </c>
      <c r="AG99" s="64" t="s">
        <v>26</v>
      </c>
      <c r="AH99" s="64">
        <f t="shared" si="19"/>
        <v>0</v>
      </c>
      <c r="AI99" s="65">
        <f t="shared" si="19"/>
        <v>0</v>
      </c>
      <c r="AJ99" s="64" t="str">
        <f t="shared" si="20"/>
        <v/>
      </c>
      <c r="AK99" s="64" t="str">
        <f t="shared" si="16"/>
        <v/>
      </c>
      <c r="AL99" s="66"/>
      <c r="AM99" s="66"/>
    </row>
    <row r="100" spans="1:39" s="67" customFormat="1" ht="24" hidden="1" customHeight="1" x14ac:dyDescent="0.15">
      <c r="A100" s="348">
        <v>91</v>
      </c>
      <c r="B100" s="222"/>
      <c r="C100" s="133"/>
      <c r="D100" s="133"/>
      <c r="E100" s="177"/>
      <c r="F100" s="177"/>
      <c r="G100" s="417"/>
      <c r="H100" s="492"/>
      <c r="I100" s="492"/>
      <c r="J100" s="493"/>
      <c r="K100" s="493"/>
      <c r="L100" s="128"/>
      <c r="M100" s="128"/>
      <c r="N100" s="425"/>
      <c r="O100" s="425"/>
      <c r="P100" s="353"/>
      <c r="Q100" s="353"/>
      <c r="R100" s="353"/>
      <c r="S100" s="345"/>
      <c r="T100" s="64" t="s">
        <v>36</v>
      </c>
      <c r="U100" s="64">
        <f>COUNTIF(D90:D109,"묘")</f>
        <v>0</v>
      </c>
      <c r="V100" s="65">
        <f>COUNTIF(I90:I109,"묘")</f>
        <v>0</v>
      </c>
      <c r="W100" s="64" t="s">
        <v>26</v>
      </c>
      <c r="X100" s="64">
        <f>SUMIF(D90:D109,"묘",F90:F109)</f>
        <v>0</v>
      </c>
      <c r="Y100" s="65">
        <f>SUMIF(I90:I109,"묘",K90:K109)</f>
        <v>0</v>
      </c>
      <c r="Z100" s="64">
        <f>COUNTIF(AJ90:AJ109,"묘국")+COUNTIF(AJ90:AJ109,"묘공")</f>
        <v>0</v>
      </c>
      <c r="AA100" s="65">
        <f>COUNTIF(AK90:AK109,"묘국")+COUNTIF(AK90:AK109,"묘공")</f>
        <v>0</v>
      </c>
      <c r="AB100" s="64" t="s">
        <v>26</v>
      </c>
      <c r="AC100" s="64">
        <f>SUMIF(AJ90:AJ109,"묘국",F90:F109)+SUMIF(AJ90:AJ109,"묘공",F90:F109)</f>
        <v>0</v>
      </c>
      <c r="AD100" s="65">
        <f>SUMIF(AK90:AK109,"묘국",K90:K109)+SUMIF(AK90:AK109,"묘공",K90:K109)</f>
        <v>0</v>
      </c>
      <c r="AE100" s="64">
        <f t="shared" si="18"/>
        <v>0</v>
      </c>
      <c r="AF100" s="65">
        <f t="shared" si="18"/>
        <v>0</v>
      </c>
      <c r="AG100" s="64" t="s">
        <v>26</v>
      </c>
      <c r="AH100" s="64">
        <f t="shared" si="19"/>
        <v>0</v>
      </c>
      <c r="AI100" s="65">
        <f t="shared" si="19"/>
        <v>0</v>
      </c>
      <c r="AJ100" s="64" t="str">
        <f t="shared" si="20"/>
        <v/>
      </c>
      <c r="AK100" s="64" t="str">
        <f t="shared" si="16"/>
        <v/>
      </c>
      <c r="AL100" s="66"/>
      <c r="AM100" s="66"/>
    </row>
    <row r="101" spans="1:39" s="67" customFormat="1" ht="24" hidden="1" customHeight="1" x14ac:dyDescent="0.15">
      <c r="A101" s="348">
        <v>92</v>
      </c>
      <c r="B101" s="222"/>
      <c r="C101" s="136"/>
      <c r="D101" s="133"/>
      <c r="E101" s="177"/>
      <c r="F101" s="177"/>
      <c r="G101" s="417"/>
      <c r="H101" s="347"/>
      <c r="I101" s="492"/>
      <c r="J101" s="493"/>
      <c r="K101" s="493"/>
      <c r="L101" s="128"/>
      <c r="M101" s="128"/>
      <c r="N101" s="425"/>
      <c r="O101" s="425"/>
      <c r="P101" s="138"/>
      <c r="Q101" s="138"/>
      <c r="R101" s="102"/>
      <c r="S101" s="342"/>
      <c r="T101" s="64" t="s">
        <v>39</v>
      </c>
      <c r="U101" s="64">
        <f>COUNTIF(D90:D109,"수")</f>
        <v>0</v>
      </c>
      <c r="V101" s="65">
        <f>COUNTIF(I90:I109,"수")</f>
        <v>0</v>
      </c>
      <c r="W101" s="64" t="s">
        <v>26</v>
      </c>
      <c r="X101" s="64">
        <f>SUMIF(D90:D109,"수",F90:F109)</f>
        <v>0</v>
      </c>
      <c r="Y101" s="65">
        <f>SUMIF(I90:I109,"수",K90:K109)</f>
        <v>0</v>
      </c>
      <c r="Z101" s="64">
        <f>COUNTIF(AJ90:AJ109,"수국")+COUNTIF(AJ90:AJ109,"수공")</f>
        <v>0</v>
      </c>
      <c r="AA101" s="65">
        <f>COUNTIF(AK90:AK109,"수국")+COUNTIF(AK90:AK109,"수공")</f>
        <v>0</v>
      </c>
      <c r="AB101" s="64" t="s">
        <v>26</v>
      </c>
      <c r="AC101" s="64">
        <f>SUMIF(AJ90:AJ109,"수국",F90:F109)+SUMIF(AJ90:AJ109,"수공",F90:F109)</f>
        <v>0</v>
      </c>
      <c r="AD101" s="65">
        <f>SUMIF(AK90:AK109,"수국",K90:K109)+SUMIF(AK90:AK109,"수공",K90:K109)</f>
        <v>0</v>
      </c>
      <c r="AE101" s="64">
        <f t="shared" si="18"/>
        <v>0</v>
      </c>
      <c r="AF101" s="65">
        <f t="shared" si="18"/>
        <v>0</v>
      </c>
      <c r="AG101" s="64" t="s">
        <v>26</v>
      </c>
      <c r="AH101" s="64">
        <f t="shared" si="19"/>
        <v>0</v>
      </c>
      <c r="AI101" s="65">
        <f t="shared" si="19"/>
        <v>0</v>
      </c>
      <c r="AJ101" s="64" t="str">
        <f t="shared" si="20"/>
        <v/>
      </c>
      <c r="AK101" s="64" t="str">
        <f t="shared" si="16"/>
        <v/>
      </c>
      <c r="AL101" s="66"/>
      <c r="AM101" s="66"/>
    </row>
    <row r="102" spans="1:39" s="67" customFormat="1" ht="24" hidden="1" customHeight="1" x14ac:dyDescent="0.15">
      <c r="A102" s="348">
        <v>93</v>
      </c>
      <c r="B102" s="222"/>
      <c r="C102" s="136"/>
      <c r="D102" s="133"/>
      <c r="E102" s="177"/>
      <c r="F102" s="177"/>
      <c r="G102" s="417"/>
      <c r="H102" s="347"/>
      <c r="I102" s="492"/>
      <c r="J102" s="493"/>
      <c r="K102" s="493"/>
      <c r="L102" s="128"/>
      <c r="M102" s="128"/>
      <c r="N102" s="425"/>
      <c r="O102" s="425"/>
      <c r="P102" s="203"/>
      <c r="Q102" s="203"/>
      <c r="R102" s="203"/>
      <c r="S102" s="342"/>
      <c r="T102" s="64" t="s">
        <v>35</v>
      </c>
      <c r="U102" s="64">
        <f>COUNTIF(D90:D109,"잡")</f>
        <v>0</v>
      </c>
      <c r="V102" s="65">
        <f>COUNTIF(I90:I109,"잡")</f>
        <v>0</v>
      </c>
      <c r="W102" s="64" t="s">
        <v>26</v>
      </c>
      <c r="X102" s="64">
        <f>SUMIF(D90:D109,"잡",F90:F109)</f>
        <v>0</v>
      </c>
      <c r="Y102" s="65">
        <f>SUMIF(I90:I109,"잡",K90:K109)</f>
        <v>0</v>
      </c>
      <c r="Z102" s="64">
        <f>COUNTIF(AJ90:AJ109,"잡국")+COUNTIF(AJ90:AJ109,"잡공")</f>
        <v>0</v>
      </c>
      <c r="AA102" s="65">
        <f>COUNTIF(AK90:AK109,"잡국")+COUNTIF(AK90:AK109,"잡공")</f>
        <v>0</v>
      </c>
      <c r="AB102" s="64" t="s">
        <v>26</v>
      </c>
      <c r="AC102" s="64">
        <f>SUMIF(AJ90:AJ109,"잡국",F90:F109)+SUMIF(AJ90:AJ109,"잡공",F90:F109)</f>
        <v>0</v>
      </c>
      <c r="AD102" s="65">
        <f>SUMIF(AK90:AK109,"잡국",K90:K109)+SUMIF(AK90:AK109,"잡공",K90:K109)</f>
        <v>0</v>
      </c>
      <c r="AE102" s="64">
        <f t="shared" si="18"/>
        <v>0</v>
      </c>
      <c r="AF102" s="65">
        <f t="shared" si="18"/>
        <v>0</v>
      </c>
      <c r="AG102" s="64" t="s">
        <v>26</v>
      </c>
      <c r="AH102" s="64">
        <f t="shared" si="19"/>
        <v>0</v>
      </c>
      <c r="AI102" s="65">
        <f t="shared" si="19"/>
        <v>0</v>
      </c>
      <c r="AJ102" s="64" t="str">
        <f t="shared" si="20"/>
        <v/>
      </c>
      <c r="AK102" s="64" t="str">
        <f t="shared" si="16"/>
        <v/>
      </c>
      <c r="AL102" s="66"/>
      <c r="AM102" s="66"/>
    </row>
    <row r="103" spans="1:39" s="67" customFormat="1" ht="24" hidden="1" customHeight="1" x14ac:dyDescent="0.15">
      <c r="A103" s="348">
        <v>94</v>
      </c>
      <c r="B103" s="222"/>
      <c r="C103" s="133"/>
      <c r="D103" s="611"/>
      <c r="E103" s="177"/>
      <c r="F103" s="177"/>
      <c r="G103" s="417"/>
      <c r="H103" s="492"/>
      <c r="I103" s="492"/>
      <c r="J103" s="493"/>
      <c r="K103" s="493"/>
      <c r="L103" s="128"/>
      <c r="M103" s="128"/>
      <c r="N103" s="425"/>
      <c r="O103" s="425"/>
      <c r="P103" s="102"/>
      <c r="Q103" s="102"/>
      <c r="R103" s="102"/>
      <c r="S103" s="345"/>
      <c r="T103" s="64" t="s">
        <v>51</v>
      </c>
      <c r="U103" s="64">
        <f>COUNTIF(D90:D109,"체")</f>
        <v>0</v>
      </c>
      <c r="V103" s="65">
        <f>COUNTIF(I90:I109,"체")</f>
        <v>0</v>
      </c>
      <c r="W103" s="64" t="s">
        <v>26</v>
      </c>
      <c r="X103" s="64">
        <f>SUMIF(D90:D109,"체",F90:F109)</f>
        <v>0</v>
      </c>
      <c r="Y103" s="65">
        <f>SUMIF(I90:I109,"체",K90:K109)</f>
        <v>0</v>
      </c>
      <c r="Z103" s="64">
        <f>COUNTIF(AJ90:AJ109,"체국")+COUNTIF(AJ90:AJ109,"체공")</f>
        <v>0</v>
      </c>
      <c r="AA103" s="65">
        <f>COUNTIF(AK90:AK109,"체국")+COUNTIF(AK90:AK109,"체공")</f>
        <v>0</v>
      </c>
      <c r="AB103" s="64" t="s">
        <v>26</v>
      </c>
      <c r="AC103" s="64">
        <f>SUMIF(AJ90:AJ109,"체국",F90:F109)+SUMIF(AJ90:AJ109,"체공",F90:F109)</f>
        <v>0</v>
      </c>
      <c r="AD103" s="65">
        <f>SUMIF(AK90:AK109,"체국",K90:K109)+SUMIF(AK90:AK109,"체공",K90:K109)</f>
        <v>0</v>
      </c>
      <c r="AE103" s="64">
        <f t="shared" si="18"/>
        <v>0</v>
      </c>
      <c r="AF103" s="65">
        <f t="shared" si="18"/>
        <v>0</v>
      </c>
      <c r="AG103" s="64" t="s">
        <v>26</v>
      </c>
      <c r="AH103" s="64">
        <f t="shared" si="19"/>
        <v>0</v>
      </c>
      <c r="AI103" s="65">
        <f t="shared" si="19"/>
        <v>0</v>
      </c>
      <c r="AJ103" s="64" t="str">
        <f t="shared" si="20"/>
        <v/>
      </c>
      <c r="AK103" s="64" t="str">
        <f t="shared" si="16"/>
        <v/>
      </c>
      <c r="AL103" s="66"/>
      <c r="AM103" s="66"/>
    </row>
    <row r="104" spans="1:39" s="67" customFormat="1" ht="24" hidden="1" customHeight="1" x14ac:dyDescent="0.15">
      <c r="A104" s="348">
        <v>95</v>
      </c>
      <c r="B104" s="222"/>
      <c r="C104" s="133"/>
      <c r="D104" s="611"/>
      <c r="E104" s="177"/>
      <c r="F104" s="177"/>
      <c r="G104" s="417"/>
      <c r="H104" s="492"/>
      <c r="I104" s="492"/>
      <c r="J104" s="493"/>
      <c r="K104" s="493"/>
      <c r="L104" s="128"/>
      <c r="M104" s="128"/>
      <c r="N104" s="425"/>
      <c r="O104" s="425"/>
      <c r="P104" s="102"/>
      <c r="Q104" s="102"/>
      <c r="R104" s="138"/>
      <c r="S104" s="345"/>
      <c r="T104" s="64" t="s">
        <v>50</v>
      </c>
      <c r="U104" s="64">
        <f>COUNTIF(D90:D109,"공")</f>
        <v>0</v>
      </c>
      <c r="V104" s="65">
        <f>COUNTIF(I90:I109,"공")</f>
        <v>0</v>
      </c>
      <c r="W104" s="64" t="s">
        <v>26</v>
      </c>
      <c r="X104" s="64">
        <f>SUMIF(D90:D109,"공",F90:F109)</f>
        <v>0</v>
      </c>
      <c r="Y104" s="65">
        <f>SUMIF(I90:I109,"공",K90:K109)</f>
        <v>0</v>
      </c>
      <c r="Z104" s="64">
        <f>COUNTIF(AJ90:AJ109,"공국")+COUNTIF(AJ90:AJ109,"공공")</f>
        <v>0</v>
      </c>
      <c r="AA104" s="65">
        <f>COUNTIF(AK90:AK109,"공국")+COUNTIF(AK90:AK109,"공공")</f>
        <v>0</v>
      </c>
      <c r="AB104" s="64" t="s">
        <v>26</v>
      </c>
      <c r="AC104" s="64">
        <f>SUMIF(AJ90:AJ109,"공국",F90:F109)+SUMIF(AJ90:AJ109,"공공",F90:F109)</f>
        <v>0</v>
      </c>
      <c r="AD104" s="65">
        <f>SUMIF(AK90:AK109,"공국",K90:K109)+SUMIF(AK90:AK109,"공공",K90:K109)</f>
        <v>0</v>
      </c>
      <c r="AE104" s="64">
        <f t="shared" si="18"/>
        <v>0</v>
      </c>
      <c r="AF104" s="65">
        <f t="shared" si="18"/>
        <v>0</v>
      </c>
      <c r="AG104" s="64" t="s">
        <v>26</v>
      </c>
      <c r="AH104" s="64">
        <f t="shared" si="19"/>
        <v>0</v>
      </c>
      <c r="AI104" s="65">
        <f t="shared" si="19"/>
        <v>0</v>
      </c>
      <c r="AJ104" s="64" t="str">
        <f t="shared" si="20"/>
        <v/>
      </c>
      <c r="AK104" s="64" t="str">
        <f t="shared" si="16"/>
        <v/>
      </c>
      <c r="AL104" s="66"/>
      <c r="AM104" s="66"/>
    </row>
    <row r="105" spans="1:39" s="67" customFormat="1" ht="24" hidden="1" customHeight="1" x14ac:dyDescent="0.15">
      <c r="A105" s="348">
        <v>96</v>
      </c>
      <c r="B105" s="222"/>
      <c r="C105" s="229"/>
      <c r="D105" s="611"/>
      <c r="E105" s="134"/>
      <c r="F105" s="357"/>
      <c r="G105" s="417"/>
      <c r="H105" s="498"/>
      <c r="I105" s="347"/>
      <c r="J105" s="344"/>
      <c r="K105" s="417"/>
      <c r="L105" s="128"/>
      <c r="M105" s="367"/>
      <c r="N105" s="425"/>
      <c r="O105" s="521"/>
      <c r="P105" s="155"/>
      <c r="Q105" s="155"/>
      <c r="R105" s="155"/>
      <c r="S105" s="342"/>
      <c r="T105" s="70" t="s">
        <v>40</v>
      </c>
      <c r="U105" s="64">
        <f>COUNTIF(D90:D109,"장")</f>
        <v>0</v>
      </c>
      <c r="V105" s="65">
        <f>COUNTIF(I90:I109,"장")</f>
        <v>0</v>
      </c>
      <c r="W105" s="64" t="s">
        <v>26</v>
      </c>
      <c r="X105" s="64">
        <f>SUMIF(D90:D109,"장",F90:F109)</f>
        <v>0</v>
      </c>
      <c r="Y105" s="65">
        <f>SUMIF(I90:I109,"장",K90:K109)</f>
        <v>0</v>
      </c>
      <c r="Z105" s="64">
        <f>COUNTIF(AJ90:AJ109,"장국")+COUNTIF(AJ90:AJ109,"장공")</f>
        <v>0</v>
      </c>
      <c r="AA105" s="65">
        <f>COUNTIF(AK90:AK109,"장국")+COUNTIF(AK90:AK109,"장공")</f>
        <v>0</v>
      </c>
      <c r="AB105" s="64" t="s">
        <v>26</v>
      </c>
      <c r="AC105" s="64">
        <f>SUMIF(AJ90:AJ109,"장국",F90:F109)+SUMIF(AJ90:AJ109,"장공",F90:F109)</f>
        <v>0</v>
      </c>
      <c r="AD105" s="65">
        <f>SUMIF(AK90:AK109,"장국",K90:K109)+SUMIF(AK90:AK109,"장공",K90:K109)</f>
        <v>0</v>
      </c>
      <c r="AE105" s="64">
        <f t="shared" si="18"/>
        <v>0</v>
      </c>
      <c r="AF105" s="65">
        <f t="shared" si="18"/>
        <v>0</v>
      </c>
      <c r="AG105" s="64" t="s">
        <v>26</v>
      </c>
      <c r="AH105" s="64">
        <f t="shared" si="19"/>
        <v>0</v>
      </c>
      <c r="AI105" s="65">
        <f t="shared" si="19"/>
        <v>0</v>
      </c>
      <c r="AJ105" s="64" t="str">
        <f t="shared" si="20"/>
        <v/>
      </c>
      <c r="AK105" s="64" t="str">
        <f t="shared" si="16"/>
        <v/>
      </c>
      <c r="AL105" s="66"/>
      <c r="AM105" s="66"/>
    </row>
    <row r="106" spans="1:39" s="67" customFormat="1" ht="24" hidden="1" customHeight="1" x14ac:dyDescent="0.15">
      <c r="A106" s="349" t="s">
        <v>90</v>
      </c>
      <c r="B106" s="222"/>
      <c r="C106" s="133"/>
      <c r="D106" s="611"/>
      <c r="E106" s="177"/>
      <c r="F106" s="177"/>
      <c r="G106" s="417"/>
      <c r="H106" s="492"/>
      <c r="I106" s="492"/>
      <c r="J106" s="493"/>
      <c r="K106" s="493"/>
      <c r="L106" s="128"/>
      <c r="M106" s="128"/>
      <c r="N106" s="425"/>
      <c r="O106" s="425"/>
      <c r="P106" s="203"/>
      <c r="Q106" s="203"/>
      <c r="R106" s="203"/>
      <c r="S106" s="345"/>
      <c r="T106" s="70" t="s">
        <v>5</v>
      </c>
      <c r="U106" s="64">
        <f>COUNTIF(D90:D109,"목")</f>
        <v>0</v>
      </c>
      <c r="V106" s="65">
        <f>COUNTIF(I90:I109,"목")</f>
        <v>0</v>
      </c>
      <c r="W106" s="64" t="s">
        <v>26</v>
      </c>
      <c r="X106" s="64">
        <f>SUMIF(D90:D109,"목",F90:F109)</f>
        <v>0</v>
      </c>
      <c r="Y106" s="65">
        <f>SUMIF(I90:I109,"목",K90:K109)</f>
        <v>0</v>
      </c>
      <c r="Z106" s="64">
        <f>COUNTIF(AJ90:AJ109,"목국")+COUNTIF(AJ90:AJ109,"목공")</f>
        <v>0</v>
      </c>
      <c r="AA106" s="65">
        <f>COUNTIF(AK90:AK109,"목국")+COUNTIF(AK90:AK109,"목공")</f>
        <v>0</v>
      </c>
      <c r="AB106" s="64" t="s">
        <v>26</v>
      </c>
      <c r="AC106" s="64">
        <f>SUMIF(AJ90:AJ109,"목국",F90:F109)+SUMIF(AJ90:AJ109,"목공",F90:F109)</f>
        <v>0</v>
      </c>
      <c r="AD106" s="65">
        <f>SUMIF(AK90:AK109,"목국",K90:K109)+SUMIF(AK90:AK109,"목공",K90:K109)</f>
        <v>0</v>
      </c>
      <c r="AE106" s="64">
        <f t="shared" si="18"/>
        <v>0</v>
      </c>
      <c r="AF106" s="65">
        <f t="shared" si="18"/>
        <v>0</v>
      </c>
      <c r="AG106" s="64" t="s">
        <v>26</v>
      </c>
      <c r="AH106" s="64">
        <f t="shared" si="19"/>
        <v>0</v>
      </c>
      <c r="AI106" s="65">
        <f t="shared" si="19"/>
        <v>0</v>
      </c>
      <c r="AJ106" s="64" t="str">
        <f t="shared" si="20"/>
        <v/>
      </c>
      <c r="AK106" s="64" t="str">
        <f t="shared" si="16"/>
        <v/>
      </c>
      <c r="AL106" s="66"/>
      <c r="AM106" s="66"/>
    </row>
    <row r="107" spans="1:39" s="67" customFormat="1" ht="24" hidden="1" customHeight="1" x14ac:dyDescent="0.15">
      <c r="A107" s="348">
        <v>98</v>
      </c>
      <c r="B107" s="222"/>
      <c r="C107" s="229"/>
      <c r="D107" s="611"/>
      <c r="E107" s="134"/>
      <c r="F107" s="357"/>
      <c r="G107" s="417"/>
      <c r="H107" s="498"/>
      <c r="I107" s="347"/>
      <c r="J107" s="344"/>
      <c r="K107" s="417"/>
      <c r="L107" s="128"/>
      <c r="M107" s="367"/>
      <c r="N107" s="425"/>
      <c r="O107" s="521"/>
      <c r="P107" s="203"/>
      <c r="Q107" s="203"/>
      <c r="R107" s="203"/>
      <c r="S107" s="342"/>
      <c r="T107" s="70"/>
      <c r="U107" s="70"/>
      <c r="V107" s="71"/>
      <c r="W107" s="70"/>
      <c r="X107" s="70"/>
      <c r="Y107" s="71"/>
      <c r="Z107" s="64"/>
      <c r="AA107" s="65"/>
      <c r="AB107" s="70"/>
      <c r="AC107" s="64"/>
      <c r="AD107" s="65"/>
      <c r="AE107" s="70"/>
      <c r="AF107" s="71"/>
      <c r="AG107" s="70"/>
      <c r="AH107" s="70"/>
      <c r="AI107" s="71"/>
      <c r="AJ107" s="64" t="str">
        <f t="shared" si="20"/>
        <v/>
      </c>
      <c r="AK107" s="64" t="str">
        <f t="shared" si="16"/>
        <v/>
      </c>
      <c r="AL107" s="66"/>
      <c r="AM107" s="66"/>
    </row>
    <row r="108" spans="1:39" s="67" customFormat="1" ht="24" hidden="1" customHeight="1" x14ac:dyDescent="0.15">
      <c r="A108" s="348">
        <v>99</v>
      </c>
      <c r="B108" s="222"/>
      <c r="C108" s="250"/>
      <c r="D108" s="235"/>
      <c r="E108" s="357"/>
      <c r="F108" s="357"/>
      <c r="G108" s="417"/>
      <c r="H108" s="498"/>
      <c r="I108" s="504"/>
      <c r="J108" s="417"/>
      <c r="K108" s="417"/>
      <c r="L108" s="374"/>
      <c r="M108" s="367"/>
      <c r="N108" s="526"/>
      <c r="O108" s="521"/>
      <c r="P108" s="370"/>
      <c r="Q108" s="370"/>
      <c r="R108" s="370"/>
      <c r="S108" s="342"/>
      <c r="T108" s="70"/>
      <c r="U108" s="70"/>
      <c r="V108" s="71"/>
      <c r="W108" s="70"/>
      <c r="X108" s="70"/>
      <c r="Y108" s="71"/>
      <c r="Z108" s="64"/>
      <c r="AA108" s="65"/>
      <c r="AB108" s="70"/>
      <c r="AC108" s="64"/>
      <c r="AD108" s="65"/>
      <c r="AE108" s="70"/>
      <c r="AF108" s="71"/>
      <c r="AG108" s="70"/>
      <c r="AH108" s="70"/>
      <c r="AI108" s="71"/>
      <c r="AJ108" s="64" t="str">
        <f t="shared" si="20"/>
        <v/>
      </c>
      <c r="AK108" s="64" t="str">
        <f t="shared" si="16"/>
        <v/>
      </c>
      <c r="AL108" s="66"/>
      <c r="AM108" s="66"/>
    </row>
    <row r="109" spans="1:39" s="67" customFormat="1" ht="24" hidden="1" customHeight="1" x14ac:dyDescent="0.15">
      <c r="A109" s="348">
        <v>100</v>
      </c>
      <c r="B109" s="222"/>
      <c r="C109" s="222"/>
      <c r="D109" s="222"/>
      <c r="E109" s="177"/>
      <c r="F109" s="177"/>
      <c r="G109" s="417"/>
      <c r="H109" s="346"/>
      <c r="I109" s="346"/>
      <c r="J109" s="493"/>
      <c r="K109" s="493"/>
      <c r="L109" s="128"/>
      <c r="M109" s="128"/>
      <c r="N109" s="425"/>
      <c r="O109" s="521"/>
      <c r="P109" s="370"/>
      <c r="Q109" s="370"/>
      <c r="R109" s="370"/>
      <c r="S109" s="342"/>
      <c r="T109" s="72" t="s">
        <v>37</v>
      </c>
      <c r="U109" s="72">
        <f>COUNTIF(D90:D109,"철")</f>
        <v>0</v>
      </c>
      <c r="V109" s="73">
        <f>COUNTIF(I90:I109,"철")</f>
        <v>0</v>
      </c>
      <c r="W109" s="72" t="s">
        <v>26</v>
      </c>
      <c r="X109" s="72">
        <f>SUMIF(D90:D109,"철",F90:F109)</f>
        <v>0</v>
      </c>
      <c r="Y109" s="73">
        <f>SUMIF(I90:I109,"철",K90:K109)</f>
        <v>0</v>
      </c>
      <c r="Z109" s="64">
        <f>COUNTIF(AJ90:AJ109,"철국")+COUNTIF(AJ90:AJ109,"철공")</f>
        <v>0</v>
      </c>
      <c r="AA109" s="65">
        <f>COUNTIF(AK90:AK109,"철국")+COUNTIF(AK90:AK109,"철공")</f>
        <v>0</v>
      </c>
      <c r="AB109" s="72" t="s">
        <v>26</v>
      </c>
      <c r="AC109" s="64">
        <f>SUMIF(AJ90:AJ109,"철국",F90:F109)+SUMIF(AJ90:AJ109,"철공",F90:F109)</f>
        <v>0</v>
      </c>
      <c r="AD109" s="65">
        <f>SUMIF(AK90:AK109,"철국",K90:K109)+SUMIF(AK90:AK109,"철공",K90:K109)</f>
        <v>0</v>
      </c>
      <c r="AE109" s="72"/>
      <c r="AF109" s="73"/>
      <c r="AG109" s="72"/>
      <c r="AH109" s="72"/>
      <c r="AI109" s="73"/>
      <c r="AJ109" s="64" t="str">
        <f t="shared" si="20"/>
        <v/>
      </c>
      <c r="AK109" s="64" t="str">
        <f t="shared" si="16"/>
        <v/>
      </c>
      <c r="AL109" s="66"/>
      <c r="AM109" s="66"/>
    </row>
    <row r="110" spans="1:39" s="57" customFormat="1" ht="24" hidden="1" customHeight="1" thickBot="1" x14ac:dyDescent="0.2">
      <c r="A110" s="147" t="s">
        <v>48</v>
      </c>
      <c r="B110" s="148"/>
      <c r="C110" s="148"/>
      <c r="D110" s="148"/>
      <c r="E110" s="148"/>
      <c r="F110" s="149">
        <f>SUM(F90:F109)</f>
        <v>0</v>
      </c>
      <c r="G110" s="496"/>
      <c r="H110" s="496"/>
      <c r="I110" s="497"/>
      <c r="J110" s="516"/>
      <c r="K110" s="529">
        <f>SUM(K90:K109)</f>
        <v>0</v>
      </c>
      <c r="L110" s="150"/>
      <c r="M110" s="150"/>
      <c r="N110" s="432"/>
      <c r="O110" s="432"/>
      <c r="P110" s="150"/>
      <c r="Q110" s="150"/>
      <c r="R110" s="150"/>
      <c r="S110" s="151"/>
      <c r="T110" s="62" t="s">
        <v>24</v>
      </c>
      <c r="U110" s="63">
        <f t="shared" ref="U110:AA110" si="21">SUM(U90:U109)</f>
        <v>0</v>
      </c>
      <c r="V110" s="63">
        <f t="shared" si="21"/>
        <v>0</v>
      </c>
      <c r="W110" s="63">
        <f t="shared" si="21"/>
        <v>0</v>
      </c>
      <c r="X110" s="63">
        <f t="shared" si="21"/>
        <v>0</v>
      </c>
      <c r="Y110" s="63">
        <f t="shared" si="21"/>
        <v>0</v>
      </c>
      <c r="Z110" s="277">
        <f t="shared" si="21"/>
        <v>0</v>
      </c>
      <c r="AA110" s="278">
        <f t="shared" si="21"/>
        <v>0</v>
      </c>
      <c r="AB110" s="277" t="s">
        <v>26</v>
      </c>
      <c r="AC110" s="277">
        <f>SUM(AC90:AC109)</f>
        <v>0</v>
      </c>
      <c r="AD110" s="278">
        <f>SUM(AD90:AD109)</f>
        <v>0</v>
      </c>
      <c r="AE110" s="63">
        <f>SUM(AE90:AE109)</f>
        <v>0</v>
      </c>
      <c r="AF110" s="63">
        <f>SUM(AF90:AF109)</f>
        <v>0</v>
      </c>
      <c r="AG110" s="63" t="s">
        <v>26</v>
      </c>
      <c r="AH110" s="63">
        <f>SUM(AH90:AH109)</f>
        <v>0</v>
      </c>
      <c r="AI110" s="63">
        <f>SUM(AI90:AI109)</f>
        <v>0</v>
      </c>
      <c r="AJ110" s="63"/>
      <c r="AK110" s="64" t="str">
        <f t="shared" si="16"/>
        <v/>
      </c>
    </row>
    <row r="111" spans="1:39" s="67" customFormat="1" ht="24" hidden="1" customHeight="1" x14ac:dyDescent="0.15">
      <c r="A111" s="368">
        <v>101</v>
      </c>
      <c r="B111" s="318"/>
      <c r="C111" s="608"/>
      <c r="D111" s="140"/>
      <c r="E111" s="142"/>
      <c r="F111" s="369"/>
      <c r="G111" s="488"/>
      <c r="H111" s="501"/>
      <c r="I111" s="502"/>
      <c r="J111" s="490"/>
      <c r="K111" s="488"/>
      <c r="L111" s="362"/>
      <c r="M111" s="371"/>
      <c r="N111" s="522"/>
      <c r="O111" s="523"/>
      <c r="P111" s="362"/>
      <c r="Q111" s="362"/>
      <c r="R111" s="362"/>
      <c r="S111" s="358"/>
      <c r="T111" s="64" t="s">
        <v>27</v>
      </c>
      <c r="U111" s="64">
        <f>COUNTIF(D111:D130,"전")</f>
        <v>0</v>
      </c>
      <c r="V111" s="65">
        <f>COUNTIF(I111:I130,"전")</f>
        <v>0</v>
      </c>
      <c r="W111" s="64" t="s">
        <v>26</v>
      </c>
      <c r="X111" s="64">
        <f>SUMIF(D111:D130,"전",F111:F130)</f>
        <v>0</v>
      </c>
      <c r="Y111" s="65">
        <f>SUMIF(I111:I130,"전",K111:K130)</f>
        <v>0</v>
      </c>
      <c r="Z111" s="64">
        <f>COUNTIF(AJ111:AJ130,"전국")+COUNTIF(AJ111:AJ130,"전공")</f>
        <v>0</v>
      </c>
      <c r="AA111" s="65">
        <f>COUNTIF(AK111:AK130,"전국")+COUNTIF(AK111:AK130,"전공")</f>
        <v>0</v>
      </c>
      <c r="AB111" s="64" t="s">
        <v>26</v>
      </c>
      <c r="AC111" s="64">
        <f>SUMIF(AJ111:AJ130,"전국",F111:F130)+SUMIF(AJ111:AJ130,"전공",F111:F130)</f>
        <v>0</v>
      </c>
      <c r="AD111" s="65">
        <f>SUMIF(AK111:AK130,"전국",K111:K130)+SUMIF(AK111:AK130,"전공",K111:K130)</f>
        <v>0</v>
      </c>
      <c r="AE111" s="64">
        <f t="shared" ref="AE111:AF127" si="22">U111-Z111</f>
        <v>0</v>
      </c>
      <c r="AF111" s="65">
        <f t="shared" si="22"/>
        <v>0</v>
      </c>
      <c r="AG111" s="64" t="s">
        <v>26</v>
      </c>
      <c r="AH111" s="64">
        <f t="shared" ref="AH111:AI127" si="23">X111-AC111</f>
        <v>0</v>
      </c>
      <c r="AI111" s="65">
        <f t="shared" si="23"/>
        <v>0</v>
      </c>
      <c r="AJ111" s="64" t="str">
        <f t="shared" ref="AJ111:AJ130" si="24">CONCATENATE(D111,L111)</f>
        <v/>
      </c>
      <c r="AK111" s="64" t="str">
        <f t="shared" si="16"/>
        <v/>
      </c>
    </row>
    <row r="112" spans="1:39" s="67" customFormat="1" ht="24" hidden="1" customHeight="1" x14ac:dyDescent="0.15">
      <c r="A112" s="348">
        <v>102</v>
      </c>
      <c r="B112" s="222"/>
      <c r="C112" s="609"/>
      <c r="D112" s="373"/>
      <c r="E112" s="177"/>
      <c r="F112" s="177"/>
      <c r="G112" s="417"/>
      <c r="H112" s="346"/>
      <c r="I112" s="346"/>
      <c r="J112" s="493"/>
      <c r="K112" s="493"/>
      <c r="L112" s="128"/>
      <c r="M112" s="128"/>
      <c r="N112" s="425"/>
      <c r="O112" s="425"/>
      <c r="P112" s="102"/>
      <c r="Q112" s="102"/>
      <c r="R112" s="102"/>
      <c r="S112" s="342"/>
      <c r="T112" s="64" t="s">
        <v>28</v>
      </c>
      <c r="U112" s="64">
        <f>COUNTIF(D111:D130,"답")</f>
        <v>0</v>
      </c>
      <c r="V112" s="65">
        <f>COUNTIF(I111:I130,"답")</f>
        <v>0</v>
      </c>
      <c r="W112" s="64" t="s">
        <v>26</v>
      </c>
      <c r="X112" s="64">
        <f>SUMIF(D111:D130,"답",F111:F130)</f>
        <v>0</v>
      </c>
      <c r="Y112" s="65">
        <f>SUMIF(I111:I130,"답",K111:K130)</f>
        <v>0</v>
      </c>
      <c r="Z112" s="64">
        <f>COUNTIF(AJ111:AJ130,"답국")+COUNTIF(AJ111:AJ130,"답공")</f>
        <v>0</v>
      </c>
      <c r="AA112" s="65">
        <f>COUNTIF(AK111:AK130,"답국")+COUNTIF(AK111:AK130,"답공")</f>
        <v>0</v>
      </c>
      <c r="AB112" s="64" t="s">
        <v>26</v>
      </c>
      <c r="AC112" s="64">
        <f>SUMIF(AJ111:AJ130,"답국",F111:F130)+SUMIF(AJ111:AJ130,"답공",F111:F130)</f>
        <v>0</v>
      </c>
      <c r="AD112" s="65">
        <f>SUMIF(AK111:AK130,"답국",K111:K130)+SUMIF(AK111:AK130,"답공",K111:K130)</f>
        <v>0</v>
      </c>
      <c r="AE112" s="64">
        <f t="shared" si="22"/>
        <v>0</v>
      </c>
      <c r="AF112" s="65">
        <f t="shared" si="22"/>
        <v>0</v>
      </c>
      <c r="AG112" s="64" t="s">
        <v>26</v>
      </c>
      <c r="AH112" s="64">
        <f t="shared" si="23"/>
        <v>0</v>
      </c>
      <c r="AI112" s="65">
        <f t="shared" si="23"/>
        <v>0</v>
      </c>
      <c r="AJ112" s="64" t="str">
        <f t="shared" si="24"/>
        <v/>
      </c>
      <c r="AK112" s="64" t="str">
        <f t="shared" si="16"/>
        <v/>
      </c>
    </row>
    <row r="113" spans="1:39" s="67" customFormat="1" ht="24" hidden="1" customHeight="1" x14ac:dyDescent="0.15">
      <c r="A113" s="348">
        <v>103</v>
      </c>
      <c r="B113" s="222"/>
      <c r="C113" s="609"/>
      <c r="D113" s="133"/>
      <c r="E113" s="177"/>
      <c r="F113" s="177"/>
      <c r="G113" s="417"/>
      <c r="H113" s="492"/>
      <c r="I113" s="492"/>
      <c r="J113" s="493"/>
      <c r="K113" s="493"/>
      <c r="L113" s="128"/>
      <c r="M113" s="128"/>
      <c r="N113" s="425"/>
      <c r="O113" s="425"/>
      <c r="P113" s="102"/>
      <c r="Q113" s="102"/>
      <c r="R113" s="138"/>
      <c r="S113" s="342"/>
      <c r="T113" s="64" t="s">
        <v>44</v>
      </c>
      <c r="U113" s="64">
        <f>COUNTIF(D111:D130,"임")</f>
        <v>0</v>
      </c>
      <c r="V113" s="65">
        <f>COUNTIF(I111:I130,"임")</f>
        <v>0</v>
      </c>
      <c r="W113" s="64" t="s">
        <v>26</v>
      </c>
      <c r="X113" s="64">
        <f>SUMIF(D111:D130,"임",F111:F130)</f>
        <v>0</v>
      </c>
      <c r="Y113" s="65">
        <f>SUMIF(I111:I130,"임",K111:K130)</f>
        <v>0</v>
      </c>
      <c r="Z113" s="64">
        <f>COUNTIF(AJ111:AJ130,"임국")+COUNTIF(AJ111:AJ130,"임공")</f>
        <v>0</v>
      </c>
      <c r="AA113" s="65">
        <f>COUNTIF(AK111:AK130,"임국")+COUNTIF(AK111:AK130,"임공")</f>
        <v>0</v>
      </c>
      <c r="AB113" s="64" t="s">
        <v>26</v>
      </c>
      <c r="AC113" s="64">
        <f>SUMIF(AJ111:AJ130,"임국",F111:F130)+SUMIF(AJ111:AJ130,"임공",F111:F130)</f>
        <v>0</v>
      </c>
      <c r="AD113" s="65">
        <f>SUMIF(AK111:AK130,"임국",K111:K130)+SUMIF(AK111:AK130,"임공",K111:K130)</f>
        <v>0</v>
      </c>
      <c r="AE113" s="64">
        <f t="shared" si="22"/>
        <v>0</v>
      </c>
      <c r="AF113" s="65">
        <f t="shared" si="22"/>
        <v>0</v>
      </c>
      <c r="AG113" s="64" t="s">
        <v>26</v>
      </c>
      <c r="AH113" s="64">
        <f t="shared" si="23"/>
        <v>0</v>
      </c>
      <c r="AI113" s="65">
        <f t="shared" si="23"/>
        <v>0</v>
      </c>
      <c r="AJ113" s="64" t="str">
        <f t="shared" si="24"/>
        <v/>
      </c>
      <c r="AK113" s="64" t="str">
        <f t="shared" si="16"/>
        <v/>
      </c>
      <c r="AL113" s="66"/>
      <c r="AM113" s="66"/>
    </row>
    <row r="114" spans="1:39" s="67" customFormat="1" ht="24" hidden="1" customHeight="1" x14ac:dyDescent="0.15">
      <c r="A114" s="349" t="s">
        <v>165</v>
      </c>
      <c r="B114" s="222"/>
      <c r="C114" s="609"/>
      <c r="D114" s="133"/>
      <c r="E114" s="177"/>
      <c r="F114" s="177"/>
      <c r="G114" s="417"/>
      <c r="H114" s="492"/>
      <c r="I114" s="492"/>
      <c r="J114" s="493"/>
      <c r="K114" s="493"/>
      <c r="L114" s="128"/>
      <c r="M114" s="128"/>
      <c r="N114" s="425"/>
      <c r="O114" s="425"/>
      <c r="P114" s="155"/>
      <c r="Q114" s="155"/>
      <c r="R114" s="155"/>
      <c r="S114" s="345"/>
      <c r="T114" s="64" t="s">
        <v>45</v>
      </c>
      <c r="U114" s="64">
        <f>COUNTIF(D111:D130,"대")</f>
        <v>0</v>
      </c>
      <c r="V114" s="65">
        <f>COUNTIF(I111:I130,"대")</f>
        <v>0</v>
      </c>
      <c r="W114" s="64" t="s">
        <v>26</v>
      </c>
      <c r="X114" s="64">
        <f>SUMIF(D111:D130,"대",F111:F130)</f>
        <v>0</v>
      </c>
      <c r="Y114" s="65">
        <f>SUMIF(I111:I130,"대",K111:K130)</f>
        <v>0</v>
      </c>
      <c r="Z114" s="64">
        <f>COUNTIF(AJ111:AJ130,"대국")+COUNTIF(AJ111:AJ130,"대공")</f>
        <v>0</v>
      </c>
      <c r="AA114" s="65">
        <f>COUNTIF(AK111:AK130,"대국")+COUNTIF(AK111:AK130,"대공")</f>
        <v>0</v>
      </c>
      <c r="AB114" s="64" t="s">
        <v>26</v>
      </c>
      <c r="AC114" s="64">
        <f>SUMIF(AJ111:AJ130,"대국",F111:F130)+SUMIF(AJ111:AJ130,"대공",F111:F130)</f>
        <v>0</v>
      </c>
      <c r="AD114" s="65">
        <f>SUMIF(AK111:AK130,"대국",K111:K130)+SUMIF(AK111:AK130,"대공",K111:K130)</f>
        <v>0</v>
      </c>
      <c r="AE114" s="64">
        <f t="shared" si="22"/>
        <v>0</v>
      </c>
      <c r="AF114" s="65">
        <f t="shared" si="22"/>
        <v>0</v>
      </c>
      <c r="AG114" s="64" t="s">
        <v>26</v>
      </c>
      <c r="AH114" s="64">
        <f t="shared" si="23"/>
        <v>0</v>
      </c>
      <c r="AI114" s="65">
        <f t="shared" si="23"/>
        <v>0</v>
      </c>
      <c r="AJ114" s="64" t="str">
        <f t="shared" si="24"/>
        <v/>
      </c>
      <c r="AK114" s="64" t="str">
        <f t="shared" si="16"/>
        <v/>
      </c>
      <c r="AL114" s="66"/>
      <c r="AM114" s="66"/>
    </row>
    <row r="115" spans="1:39" s="67" customFormat="1" ht="24" hidden="1" customHeight="1" x14ac:dyDescent="0.15">
      <c r="A115" s="348">
        <v>105</v>
      </c>
      <c r="B115" s="222"/>
      <c r="C115" s="607"/>
      <c r="D115" s="136"/>
      <c r="E115" s="134"/>
      <c r="F115" s="357"/>
      <c r="G115" s="417"/>
      <c r="H115" s="498"/>
      <c r="I115" s="347"/>
      <c r="J115" s="344"/>
      <c r="K115" s="417"/>
      <c r="L115" s="128"/>
      <c r="M115" s="128"/>
      <c r="N115" s="425"/>
      <c r="O115" s="425"/>
      <c r="P115" s="203"/>
      <c r="Q115" s="203"/>
      <c r="R115" s="203"/>
      <c r="S115" s="345"/>
      <c r="T115" s="64" t="s">
        <v>31</v>
      </c>
      <c r="U115" s="64">
        <f>COUNTIF(D111:D130,"도")</f>
        <v>0</v>
      </c>
      <c r="V115" s="65">
        <f>COUNTIF(I111:I130,"도")</f>
        <v>0</v>
      </c>
      <c r="W115" s="64" t="s">
        <v>26</v>
      </c>
      <c r="X115" s="64">
        <f>SUMIF(D111:D130,"도",F111:F130)</f>
        <v>0</v>
      </c>
      <c r="Y115" s="65">
        <f>SUMIF(I111:I130,"도",K111:K130)</f>
        <v>0</v>
      </c>
      <c r="Z115" s="64">
        <f>COUNTIF(AJ111:AJ130,"도국")+COUNTIF(AJ111:AJ130,"도공")</f>
        <v>0</v>
      </c>
      <c r="AA115" s="65">
        <f>COUNTIF(AK111:AK130,"도국")+COUNTIF(AK111:AK130,"도공")</f>
        <v>0</v>
      </c>
      <c r="AB115" s="64" t="s">
        <v>26</v>
      </c>
      <c r="AC115" s="64">
        <f>SUMIF(AJ111:AJ130,"도국",F111:F130)+SUMIF(AJ111:AJ130,"도공",F111:F130)</f>
        <v>0</v>
      </c>
      <c r="AD115" s="65">
        <f>SUMIF(AK111:AK130,"도국",K111:K130)+SUMIF(AK111:AK130,"도공",K111:K130)</f>
        <v>0</v>
      </c>
      <c r="AE115" s="64">
        <f t="shared" si="22"/>
        <v>0</v>
      </c>
      <c r="AF115" s="65">
        <f t="shared" si="22"/>
        <v>0</v>
      </c>
      <c r="AG115" s="64" t="s">
        <v>26</v>
      </c>
      <c r="AH115" s="64">
        <f t="shared" si="23"/>
        <v>0</v>
      </c>
      <c r="AI115" s="65">
        <f t="shared" si="23"/>
        <v>0</v>
      </c>
      <c r="AJ115" s="64" t="str">
        <f t="shared" si="24"/>
        <v/>
      </c>
      <c r="AK115" s="64" t="str">
        <f t="shared" si="16"/>
        <v/>
      </c>
      <c r="AL115" s="66"/>
      <c r="AM115" s="66"/>
    </row>
    <row r="116" spans="1:39" s="67" customFormat="1" ht="24" hidden="1" customHeight="1" x14ac:dyDescent="0.15">
      <c r="A116" s="348">
        <v>106</v>
      </c>
      <c r="B116" s="222"/>
      <c r="C116" s="607"/>
      <c r="D116" s="136"/>
      <c r="E116" s="134"/>
      <c r="F116" s="357"/>
      <c r="G116" s="417"/>
      <c r="H116" s="498"/>
      <c r="I116" s="347"/>
      <c r="J116" s="344"/>
      <c r="K116" s="417"/>
      <c r="L116" s="203"/>
      <c r="M116" s="367"/>
      <c r="N116" s="359"/>
      <c r="O116" s="521"/>
      <c r="P116" s="203"/>
      <c r="Q116" s="203"/>
      <c r="R116" s="203"/>
      <c r="S116" s="342"/>
      <c r="T116" s="64" t="s">
        <v>32</v>
      </c>
      <c r="U116" s="68">
        <f>COUNTIF(D111:D130,"천")</f>
        <v>0</v>
      </c>
      <c r="V116" s="69">
        <f>COUNTIF(I111:I130,"천")</f>
        <v>0</v>
      </c>
      <c r="W116" s="64" t="s">
        <v>26</v>
      </c>
      <c r="X116" s="64">
        <f>SUMIF(D111:D130,"천",F111:F130)</f>
        <v>0</v>
      </c>
      <c r="Y116" s="65">
        <f>SUMIF(I111:I130,"천",K111:K130)</f>
        <v>0</v>
      </c>
      <c r="Z116" s="64">
        <f>COUNTIF(AJ111:AJ130,"천국")+COUNTIF(AJ111:AJ130,"천공")</f>
        <v>0</v>
      </c>
      <c r="AA116" s="65">
        <f>COUNTIF(AK111:AK130,"천국")+COUNTIF(AK111:AK130,"천공")</f>
        <v>0</v>
      </c>
      <c r="AB116" s="64" t="s">
        <v>26</v>
      </c>
      <c r="AC116" s="64">
        <f>SUMIF(AJ111:AJ130,"천국",F111:F130)+SUMIF(AJ111:AJ130,"천공",F111:F130)</f>
        <v>0</v>
      </c>
      <c r="AD116" s="65">
        <f>SUMIF(AK111:AK130,"천국",K111:K130)+SUMIF(AK111:AK130,"천공",K111:K130)</f>
        <v>0</v>
      </c>
      <c r="AE116" s="64">
        <f t="shared" si="22"/>
        <v>0</v>
      </c>
      <c r="AF116" s="65">
        <f t="shared" si="22"/>
        <v>0</v>
      </c>
      <c r="AG116" s="64" t="s">
        <v>26</v>
      </c>
      <c r="AH116" s="64">
        <f t="shared" si="23"/>
        <v>0</v>
      </c>
      <c r="AI116" s="65">
        <f t="shared" si="23"/>
        <v>0</v>
      </c>
      <c r="AJ116" s="64" t="str">
        <f t="shared" si="24"/>
        <v/>
      </c>
      <c r="AK116" s="64" t="str">
        <f t="shared" si="16"/>
        <v/>
      </c>
      <c r="AL116" s="66"/>
      <c r="AM116" s="66"/>
    </row>
    <row r="117" spans="1:39" s="67" customFormat="1" ht="24" hidden="1" customHeight="1" x14ac:dyDescent="0.15">
      <c r="A117" s="348">
        <v>107</v>
      </c>
      <c r="B117" s="222"/>
      <c r="C117" s="607"/>
      <c r="D117" s="235"/>
      <c r="E117" s="357"/>
      <c r="F117" s="357"/>
      <c r="G117" s="417"/>
      <c r="H117" s="498"/>
      <c r="I117" s="504"/>
      <c r="J117" s="417"/>
      <c r="K117" s="417"/>
      <c r="L117" s="250"/>
      <c r="M117" s="367"/>
      <c r="N117" s="251"/>
      <c r="O117" s="521"/>
      <c r="P117" s="370"/>
      <c r="Q117" s="370"/>
      <c r="R117" s="370"/>
      <c r="S117" s="342"/>
      <c r="T117" s="64" t="s">
        <v>33</v>
      </c>
      <c r="U117" s="64">
        <f>COUNTIF(D111:D130,"구")</f>
        <v>0</v>
      </c>
      <c r="V117" s="65">
        <f>COUNTIF(I111:I130,"구")</f>
        <v>0</v>
      </c>
      <c r="W117" s="64" t="s">
        <v>26</v>
      </c>
      <c r="X117" s="64">
        <f>SUMIF(D111:D130,"구",F111:F130)</f>
        <v>0</v>
      </c>
      <c r="Y117" s="65">
        <f>SUMIF(I111:I130,"구",K111:K130)</f>
        <v>0</v>
      </c>
      <c r="Z117" s="64">
        <f>COUNTIF(AJ111:AJ130,"구국")+COUNTIF(AJ111:AJ130,"구공")</f>
        <v>0</v>
      </c>
      <c r="AA117" s="65">
        <f>COUNTIF(AK111:AK130,"구국")+COUNTIF(AK111:AK130,"구공")</f>
        <v>0</v>
      </c>
      <c r="AB117" s="64" t="s">
        <v>26</v>
      </c>
      <c r="AC117" s="64">
        <f>SUMIF(AJ111:AJ130,"구국",F111:F130)+SUMIF(AJ111:AJ130,"구공",F111:F130)</f>
        <v>0</v>
      </c>
      <c r="AD117" s="65">
        <f>SUMIF(AK111:AK130,"구국",K111:K130)+SUMIF(AK111:AK130,"구공",K111:K130)</f>
        <v>0</v>
      </c>
      <c r="AE117" s="64">
        <f t="shared" si="22"/>
        <v>0</v>
      </c>
      <c r="AF117" s="65">
        <f t="shared" si="22"/>
        <v>0</v>
      </c>
      <c r="AG117" s="64" t="s">
        <v>26</v>
      </c>
      <c r="AH117" s="64">
        <f t="shared" si="23"/>
        <v>0</v>
      </c>
      <c r="AI117" s="65">
        <f t="shared" si="23"/>
        <v>0</v>
      </c>
      <c r="AJ117" s="64" t="str">
        <f t="shared" si="24"/>
        <v/>
      </c>
      <c r="AK117" s="64" t="str">
        <f t="shared" si="16"/>
        <v/>
      </c>
      <c r="AL117" s="66"/>
      <c r="AM117" s="66"/>
    </row>
    <row r="118" spans="1:39" s="67" customFormat="1" ht="24" hidden="1" customHeight="1" x14ac:dyDescent="0.15">
      <c r="A118" s="348">
        <v>108</v>
      </c>
      <c r="B118" s="222"/>
      <c r="C118" s="607"/>
      <c r="D118" s="235"/>
      <c r="E118" s="357"/>
      <c r="F118" s="357"/>
      <c r="G118" s="417"/>
      <c r="H118" s="498"/>
      <c r="I118" s="504"/>
      <c r="J118" s="417"/>
      <c r="K118" s="417"/>
      <c r="L118" s="375"/>
      <c r="M118" s="367"/>
      <c r="N118" s="527"/>
      <c r="O118" s="521"/>
      <c r="P118" s="370"/>
      <c r="Q118" s="370"/>
      <c r="R118" s="370"/>
      <c r="S118" s="342"/>
      <c r="T118" s="64" t="s">
        <v>34</v>
      </c>
      <c r="U118" s="64">
        <f>COUNTIF(D111:D130,"제")</f>
        <v>0</v>
      </c>
      <c r="V118" s="65">
        <f>COUNTIF(I111:I130,"제")</f>
        <v>0</v>
      </c>
      <c r="W118" s="64" t="s">
        <v>26</v>
      </c>
      <c r="X118" s="64">
        <f>SUMIF(D111:D130,"제",F111:F130)</f>
        <v>0</v>
      </c>
      <c r="Y118" s="65">
        <f>SUMIF(I111:I130,"제",K111:K130)</f>
        <v>0</v>
      </c>
      <c r="Z118" s="64">
        <f>COUNTIF(AJ111:AJ130,"제국")+COUNTIF(AJ111:AJ130,"제공")</f>
        <v>0</v>
      </c>
      <c r="AA118" s="65">
        <f>COUNTIF(AK111:AK130,"제국")+COUNTIF(AK111:AK130,"제공")</f>
        <v>0</v>
      </c>
      <c r="AB118" s="64" t="s">
        <v>26</v>
      </c>
      <c r="AC118" s="64">
        <f>SUMIF(AJ111:AJ130,"제국",F111:F130)+SUMIF(AJ111:AJ130,"제공",F111:F130)</f>
        <v>0</v>
      </c>
      <c r="AD118" s="65">
        <f>SUMIF(AK111:AK130,"제국",K111:K130)+SUMIF(AK111:AK130,"제공",K111:K130)</f>
        <v>0</v>
      </c>
      <c r="AE118" s="64">
        <f t="shared" si="22"/>
        <v>0</v>
      </c>
      <c r="AF118" s="65">
        <f t="shared" si="22"/>
        <v>0</v>
      </c>
      <c r="AG118" s="64" t="s">
        <v>26</v>
      </c>
      <c r="AH118" s="64">
        <f t="shared" si="23"/>
        <v>0</v>
      </c>
      <c r="AI118" s="65">
        <f t="shared" si="23"/>
        <v>0</v>
      </c>
      <c r="AJ118" s="64" t="str">
        <f t="shared" si="24"/>
        <v/>
      </c>
      <c r="AK118" s="64" t="str">
        <f t="shared" si="16"/>
        <v/>
      </c>
      <c r="AL118" s="66"/>
      <c r="AM118" s="66"/>
    </row>
    <row r="119" spans="1:39" s="67" customFormat="1" ht="24" hidden="1" customHeight="1" x14ac:dyDescent="0.15">
      <c r="A119" s="348">
        <v>109</v>
      </c>
      <c r="B119" s="222"/>
      <c r="C119" s="610"/>
      <c r="D119" s="601"/>
      <c r="E119" s="602"/>
      <c r="F119" s="602"/>
      <c r="G119" s="600"/>
      <c r="H119" s="598"/>
      <c r="I119" s="599"/>
      <c r="J119" s="600"/>
      <c r="K119" s="600"/>
      <c r="L119" s="603"/>
      <c r="M119" s="604"/>
      <c r="N119" s="605"/>
      <c r="O119" s="606"/>
      <c r="P119" s="207"/>
      <c r="Q119" s="207"/>
      <c r="R119" s="207"/>
      <c r="S119" s="342"/>
      <c r="T119" s="64" t="s">
        <v>46</v>
      </c>
      <c r="U119" s="64">
        <f>COUNTIF(D111:D130,"유")</f>
        <v>0</v>
      </c>
      <c r="V119" s="65">
        <f>COUNTIF(I111:I130,"유")</f>
        <v>0</v>
      </c>
      <c r="W119" s="64" t="s">
        <v>26</v>
      </c>
      <c r="X119" s="64">
        <f>SUMIF(D111:D130,"유",F111:F130)</f>
        <v>0</v>
      </c>
      <c r="Y119" s="65">
        <f>SUMIF(I111:I130,"유",K111:K130)</f>
        <v>0</v>
      </c>
      <c r="Z119" s="64">
        <f>COUNTIF(AJ111:AJ130,"유국")+COUNTIF(AJ111:AJ130,"유공")</f>
        <v>0</v>
      </c>
      <c r="AA119" s="65">
        <f>COUNTIF(AK111:AK130,"유국")+COUNTIF(AK111:AK130,"유공")</f>
        <v>0</v>
      </c>
      <c r="AB119" s="64" t="s">
        <v>26</v>
      </c>
      <c r="AC119" s="64">
        <f>SUMIF(AJ111:AJ130,"유국",F111:F130)+SUMIF(AJ111:AJ130,"유공",F111:F130)</f>
        <v>0</v>
      </c>
      <c r="AD119" s="65">
        <f>SUMIF(AK111:AK130,"유국",K111:K130)+SUMIF(AK111:AK130,"유공",K111:K130)</f>
        <v>0</v>
      </c>
      <c r="AE119" s="64">
        <f t="shared" si="22"/>
        <v>0</v>
      </c>
      <c r="AF119" s="65">
        <f t="shared" si="22"/>
        <v>0</v>
      </c>
      <c r="AG119" s="64" t="s">
        <v>26</v>
      </c>
      <c r="AH119" s="64">
        <f t="shared" si="23"/>
        <v>0</v>
      </c>
      <c r="AI119" s="65">
        <f t="shared" si="23"/>
        <v>0</v>
      </c>
      <c r="AJ119" s="64" t="str">
        <f t="shared" si="24"/>
        <v/>
      </c>
      <c r="AK119" s="64" t="str">
        <f t="shared" si="16"/>
        <v/>
      </c>
      <c r="AL119" s="66"/>
      <c r="AM119" s="66"/>
    </row>
    <row r="120" spans="1:39" s="67" customFormat="1" ht="24" hidden="1" customHeight="1" x14ac:dyDescent="0.15">
      <c r="A120" s="348">
        <v>110</v>
      </c>
      <c r="B120" s="222"/>
      <c r="C120" s="607"/>
      <c r="D120" s="136"/>
      <c r="E120" s="134"/>
      <c r="F120" s="357"/>
      <c r="G120" s="417"/>
      <c r="H120" s="498"/>
      <c r="I120" s="347"/>
      <c r="J120" s="344"/>
      <c r="K120" s="417"/>
      <c r="L120" s="203"/>
      <c r="M120" s="367"/>
      <c r="N120" s="359"/>
      <c r="O120" s="521"/>
      <c r="P120" s="203"/>
      <c r="Q120" s="203"/>
      <c r="R120" s="203"/>
      <c r="S120" s="342"/>
      <c r="T120" s="64" t="s">
        <v>47</v>
      </c>
      <c r="U120" s="64">
        <f>COUNTIF(D111:D130,"과")</f>
        <v>0</v>
      </c>
      <c r="V120" s="65">
        <f>COUNTIF(I111:I130,"과")</f>
        <v>0</v>
      </c>
      <c r="W120" s="64" t="s">
        <v>26</v>
      </c>
      <c r="X120" s="64">
        <f>SUMIF(D111:D130,"과",F111:F130)</f>
        <v>0</v>
      </c>
      <c r="Y120" s="65">
        <f>SUMIF(I111:I130,"과",K111:K130)</f>
        <v>0</v>
      </c>
      <c r="Z120" s="64">
        <f>COUNTIF(AJ111:AJ130,"과국")+COUNTIF(AJ111:AJ130,"과공")</f>
        <v>0</v>
      </c>
      <c r="AA120" s="65">
        <f>COUNTIF(AK111:AK130,"과국")+COUNTIF(AK111:AK130,"과공")</f>
        <v>0</v>
      </c>
      <c r="AB120" s="64" t="s">
        <v>26</v>
      </c>
      <c r="AC120" s="64">
        <f>SUMIF(AJ111:AJ130,"과국",F111:F130)+SUMIF(AJ111:AJ130,"과공",F111:F130)</f>
        <v>0</v>
      </c>
      <c r="AD120" s="65">
        <f>SUMIF(AK111:AK130,"과국",K111:K130)+SUMIF(AK111:AK130,"과공",K111:K130)</f>
        <v>0</v>
      </c>
      <c r="AE120" s="64">
        <f t="shared" si="22"/>
        <v>0</v>
      </c>
      <c r="AF120" s="65">
        <f t="shared" si="22"/>
        <v>0</v>
      </c>
      <c r="AG120" s="64" t="s">
        <v>26</v>
      </c>
      <c r="AH120" s="64">
        <f t="shared" si="23"/>
        <v>0</v>
      </c>
      <c r="AI120" s="65">
        <f t="shared" si="23"/>
        <v>0</v>
      </c>
      <c r="AJ120" s="64" t="str">
        <f t="shared" si="24"/>
        <v/>
      </c>
      <c r="AK120" s="64" t="str">
        <f t="shared" si="16"/>
        <v/>
      </c>
      <c r="AL120" s="66"/>
      <c r="AM120" s="66"/>
    </row>
    <row r="121" spans="1:39" s="67" customFormat="1" ht="24" hidden="1" customHeight="1" x14ac:dyDescent="0.15">
      <c r="A121" s="349" t="s">
        <v>172</v>
      </c>
      <c r="B121" s="222"/>
      <c r="C121" s="609"/>
      <c r="D121" s="133"/>
      <c r="E121" s="177"/>
      <c r="F121" s="177"/>
      <c r="G121" s="417"/>
      <c r="H121" s="498"/>
      <c r="I121" s="492"/>
      <c r="J121" s="493"/>
      <c r="K121" s="493"/>
      <c r="L121" s="128"/>
      <c r="M121" s="128"/>
      <c r="N121" s="425"/>
      <c r="O121" s="425"/>
      <c r="P121" s="203"/>
      <c r="Q121" s="203"/>
      <c r="R121" s="203"/>
      <c r="S121" s="342"/>
      <c r="T121" s="64" t="s">
        <v>36</v>
      </c>
      <c r="U121" s="64">
        <f>COUNTIF(D111:D130,"묘")</f>
        <v>0</v>
      </c>
      <c r="V121" s="65">
        <f>COUNTIF(I111:I130,"묘")</f>
        <v>0</v>
      </c>
      <c r="W121" s="64" t="s">
        <v>26</v>
      </c>
      <c r="X121" s="64">
        <f>SUMIF(D111:D130,"묘",F111:F130)</f>
        <v>0</v>
      </c>
      <c r="Y121" s="65">
        <f>SUMIF(I111:I130,"묘",K111:K130)</f>
        <v>0</v>
      </c>
      <c r="Z121" s="64">
        <f>COUNTIF(AJ111:AJ130,"묘국")+COUNTIF(AJ111:AJ130,"묘공")</f>
        <v>0</v>
      </c>
      <c r="AA121" s="65">
        <f>COUNTIF(AK111:AK130,"묘국")+COUNTIF(AK111:AK130,"묘공")</f>
        <v>0</v>
      </c>
      <c r="AB121" s="64" t="s">
        <v>26</v>
      </c>
      <c r="AC121" s="64">
        <f>SUMIF(AJ111:AJ130,"묘국",F111:F130)+SUMIF(AJ111:AJ130,"묘공",F111:F130)</f>
        <v>0</v>
      </c>
      <c r="AD121" s="65">
        <f>SUMIF(AK111:AK130,"묘국",K111:K130)+SUMIF(AK111:AK130,"묘공",K111:K130)</f>
        <v>0</v>
      </c>
      <c r="AE121" s="64">
        <f t="shared" si="22"/>
        <v>0</v>
      </c>
      <c r="AF121" s="65">
        <f t="shared" si="22"/>
        <v>0</v>
      </c>
      <c r="AG121" s="64" t="s">
        <v>26</v>
      </c>
      <c r="AH121" s="64">
        <f t="shared" si="23"/>
        <v>0</v>
      </c>
      <c r="AI121" s="65">
        <f t="shared" si="23"/>
        <v>0</v>
      </c>
      <c r="AJ121" s="64" t="str">
        <f t="shared" si="24"/>
        <v/>
      </c>
      <c r="AK121" s="64" t="str">
        <f t="shared" si="16"/>
        <v/>
      </c>
      <c r="AL121" s="66"/>
      <c r="AM121" s="66"/>
    </row>
    <row r="122" spans="1:39" s="67" customFormat="1" ht="24" hidden="1" customHeight="1" x14ac:dyDescent="0.15">
      <c r="A122" s="348">
        <v>112</v>
      </c>
      <c r="B122" s="222"/>
      <c r="C122" s="609"/>
      <c r="D122" s="222"/>
      <c r="E122" s="177"/>
      <c r="F122" s="177"/>
      <c r="G122" s="417"/>
      <c r="H122" s="346"/>
      <c r="I122" s="346"/>
      <c r="J122" s="493"/>
      <c r="K122" s="493"/>
      <c r="L122" s="128"/>
      <c r="M122" s="128"/>
      <c r="N122" s="425"/>
      <c r="O122" s="425"/>
      <c r="P122" s="102"/>
      <c r="Q122" s="102"/>
      <c r="R122" s="102"/>
      <c r="S122" s="342"/>
      <c r="T122" s="64" t="s">
        <v>39</v>
      </c>
      <c r="U122" s="64">
        <f>COUNTIF(D111:D130,"수")</f>
        <v>0</v>
      </c>
      <c r="V122" s="65">
        <f>COUNTIF(I111:I130,"수")</f>
        <v>0</v>
      </c>
      <c r="W122" s="64" t="s">
        <v>26</v>
      </c>
      <c r="X122" s="64">
        <f>SUMIF(D111:D130,"수",F111:F130)</f>
        <v>0</v>
      </c>
      <c r="Y122" s="65">
        <f>SUMIF(I111:I130,"수",K111:K130)</f>
        <v>0</v>
      </c>
      <c r="Z122" s="64">
        <f>COUNTIF(AJ111:AJ130,"수국")+COUNTIF(AJ111:AJ130,"수공")</f>
        <v>0</v>
      </c>
      <c r="AA122" s="65">
        <f>COUNTIF(AK111:AK130,"수국")+COUNTIF(AK111:AK130,"수공")</f>
        <v>0</v>
      </c>
      <c r="AB122" s="64" t="s">
        <v>26</v>
      </c>
      <c r="AC122" s="64">
        <f>SUMIF(AJ111:AJ130,"수국",F111:F130)+SUMIF(AJ111:AJ130,"수공",F111:F130)</f>
        <v>0</v>
      </c>
      <c r="AD122" s="65">
        <f>SUMIF(AK111:AK130,"수국",K111:K130)+SUMIF(AK111:AK130,"수공",K111:K130)</f>
        <v>0</v>
      </c>
      <c r="AE122" s="64">
        <f t="shared" si="22"/>
        <v>0</v>
      </c>
      <c r="AF122" s="65">
        <f t="shared" si="22"/>
        <v>0</v>
      </c>
      <c r="AG122" s="64" t="s">
        <v>26</v>
      </c>
      <c r="AH122" s="64">
        <f t="shared" si="23"/>
        <v>0</v>
      </c>
      <c r="AI122" s="65">
        <f t="shared" si="23"/>
        <v>0</v>
      </c>
      <c r="AJ122" s="64" t="str">
        <f t="shared" si="24"/>
        <v/>
      </c>
      <c r="AK122" s="64" t="str">
        <f t="shared" si="16"/>
        <v/>
      </c>
      <c r="AL122" s="66"/>
      <c r="AM122" s="66"/>
    </row>
    <row r="123" spans="1:39" s="67" customFormat="1" ht="24" hidden="1" customHeight="1" x14ac:dyDescent="0.15">
      <c r="A123" s="349" t="s">
        <v>103</v>
      </c>
      <c r="B123" s="222"/>
      <c r="C123" s="607"/>
      <c r="D123" s="136"/>
      <c r="E123" s="134"/>
      <c r="F123" s="357"/>
      <c r="G123" s="417"/>
      <c r="H123" s="498"/>
      <c r="I123" s="347"/>
      <c r="J123" s="344"/>
      <c r="K123" s="417"/>
      <c r="L123" s="203"/>
      <c r="M123" s="367"/>
      <c r="N123" s="359"/>
      <c r="O123" s="521"/>
      <c r="P123" s="102"/>
      <c r="Q123" s="102"/>
      <c r="R123" s="102"/>
      <c r="S123" s="342"/>
      <c r="T123" s="64" t="s">
        <v>35</v>
      </c>
      <c r="U123" s="64">
        <f>COUNTIF(D111:D130,"잡")</f>
        <v>0</v>
      </c>
      <c r="V123" s="65">
        <f>COUNTIF(I111:I130,"잡")</f>
        <v>0</v>
      </c>
      <c r="W123" s="64" t="s">
        <v>26</v>
      </c>
      <c r="X123" s="64">
        <f>SUMIF(D111:D130,"잡",F111:F130)</f>
        <v>0</v>
      </c>
      <c r="Y123" s="65">
        <f>SUMIF(I111:I130,"잡",K111:K130)</f>
        <v>0</v>
      </c>
      <c r="Z123" s="64">
        <f>COUNTIF(AJ111:AJ130,"잡국")+COUNTIF(AJ111:AJ130,"잡공")</f>
        <v>0</v>
      </c>
      <c r="AA123" s="65">
        <f>COUNTIF(AK111:AK130,"잡국")+COUNTIF(AK111:AK130,"잡공")</f>
        <v>0</v>
      </c>
      <c r="AB123" s="64" t="s">
        <v>26</v>
      </c>
      <c r="AC123" s="64">
        <f>SUMIF(AJ111:AJ130,"잡국",F111:F130)+SUMIF(AJ111:AJ130,"잡공",F111:F130)</f>
        <v>0</v>
      </c>
      <c r="AD123" s="65">
        <f>SUMIF(AK111:AK130,"잡국",K111:K130)+SUMIF(AK111:AK130,"잡공",K111:K130)</f>
        <v>0</v>
      </c>
      <c r="AE123" s="64">
        <f t="shared" si="22"/>
        <v>0</v>
      </c>
      <c r="AF123" s="65">
        <f t="shared" si="22"/>
        <v>0</v>
      </c>
      <c r="AG123" s="64" t="s">
        <v>26</v>
      </c>
      <c r="AH123" s="64">
        <f t="shared" si="23"/>
        <v>0</v>
      </c>
      <c r="AI123" s="65">
        <f t="shared" si="23"/>
        <v>0</v>
      </c>
      <c r="AJ123" s="64" t="str">
        <f t="shared" si="24"/>
        <v/>
      </c>
      <c r="AK123" s="64" t="str">
        <f t="shared" si="16"/>
        <v/>
      </c>
      <c r="AL123" s="66"/>
      <c r="AM123" s="66"/>
    </row>
    <row r="124" spans="1:39" s="67" customFormat="1" ht="24" hidden="1" customHeight="1" x14ac:dyDescent="0.15">
      <c r="A124" s="350" t="s">
        <v>176</v>
      </c>
      <c r="B124" s="222"/>
      <c r="C124" s="609"/>
      <c r="D124" s="133"/>
      <c r="E124" s="357"/>
      <c r="F124" s="357"/>
      <c r="G124" s="417"/>
      <c r="H124" s="492"/>
      <c r="I124" s="492"/>
      <c r="J124" s="417"/>
      <c r="K124" s="417"/>
      <c r="L124" s="128"/>
      <c r="M124" s="128"/>
      <c r="N124" s="425"/>
      <c r="O124" s="425"/>
      <c r="P124" s="203"/>
      <c r="Q124" s="203"/>
      <c r="R124" s="203"/>
      <c r="S124" s="342"/>
      <c r="T124" s="64" t="s">
        <v>1</v>
      </c>
      <c r="U124" s="64">
        <f>COUNTIF(D111:D130,"종")</f>
        <v>0</v>
      </c>
      <c r="V124" s="65">
        <f>COUNTIF(I111:I130,"종")</f>
        <v>0</v>
      </c>
      <c r="W124" s="64" t="s">
        <v>26</v>
      </c>
      <c r="X124" s="64">
        <f>SUMIF(D111:D130,"종",F111:F130)</f>
        <v>0</v>
      </c>
      <c r="Y124" s="65">
        <f>SUMIF(I111:I130,"종",K111:K130)</f>
        <v>0</v>
      </c>
      <c r="Z124" s="64">
        <f>COUNTIF(AJ111:AJ130,"종국")+COUNTIF(AJ111:AJ130,"종공")</f>
        <v>0</v>
      </c>
      <c r="AA124" s="65">
        <f>COUNTIF(AK111:AK130,"종국")+COUNTIF(AK111:AK130,"종공")</f>
        <v>0</v>
      </c>
      <c r="AB124" s="64" t="s">
        <v>26</v>
      </c>
      <c r="AC124" s="64">
        <f>SUMIF(AJ111:AJ130,"종국",F111:F130)+SUMIF(AJ111:AJ130,"종공",F111:F130)</f>
        <v>0</v>
      </c>
      <c r="AD124" s="65">
        <f>SUMIF(AK111:AK130,"종국",K111:K130)+SUMIF(AK111:AK130,"종공",K111:K130)</f>
        <v>0</v>
      </c>
      <c r="AE124" s="64">
        <f t="shared" si="22"/>
        <v>0</v>
      </c>
      <c r="AF124" s="65">
        <f t="shared" si="22"/>
        <v>0</v>
      </c>
      <c r="AG124" s="64" t="s">
        <v>26</v>
      </c>
      <c r="AH124" s="64">
        <f t="shared" si="23"/>
        <v>0</v>
      </c>
      <c r="AI124" s="65">
        <f t="shared" si="23"/>
        <v>0</v>
      </c>
      <c r="AJ124" s="64" t="str">
        <f t="shared" si="24"/>
        <v/>
      </c>
      <c r="AK124" s="64" t="str">
        <f t="shared" si="16"/>
        <v/>
      </c>
      <c r="AL124" s="66"/>
      <c r="AM124" s="66"/>
    </row>
    <row r="125" spans="1:39" s="67" customFormat="1" ht="24" hidden="1" customHeight="1" x14ac:dyDescent="0.15">
      <c r="A125" s="348">
        <v>115</v>
      </c>
      <c r="B125" s="222"/>
      <c r="C125" s="607"/>
      <c r="D125" s="136"/>
      <c r="E125" s="134"/>
      <c r="F125" s="177"/>
      <c r="G125" s="417"/>
      <c r="H125" s="498"/>
      <c r="I125" s="347"/>
      <c r="J125" s="344"/>
      <c r="K125" s="493"/>
      <c r="L125" s="128"/>
      <c r="M125" s="128"/>
      <c r="N125" s="425"/>
      <c r="O125" s="425"/>
      <c r="P125" s="102"/>
      <c r="Q125" s="102"/>
      <c r="R125" s="102"/>
      <c r="S125" s="342"/>
      <c r="T125" s="64" t="s">
        <v>50</v>
      </c>
      <c r="U125" s="64">
        <f>COUNTIF(D111:D130,"공")</f>
        <v>0</v>
      </c>
      <c r="V125" s="65">
        <f>COUNTIF(I111:I130,"공")</f>
        <v>0</v>
      </c>
      <c r="W125" s="64" t="s">
        <v>26</v>
      </c>
      <c r="X125" s="64">
        <f>SUMIF(D111:D130,"공",F111:F130)</f>
        <v>0</v>
      </c>
      <c r="Y125" s="65">
        <f>SUMIF(I111:I130,"공",K111:K130)</f>
        <v>0</v>
      </c>
      <c r="Z125" s="64">
        <f>COUNTIF(AJ111:AJ130,"공국")+COUNTIF(AJ111:AJ130,"공공")</f>
        <v>0</v>
      </c>
      <c r="AA125" s="65">
        <f>COUNTIF(AK111:AK130,"공국")+COUNTIF(AK111:AK130,"공공")</f>
        <v>0</v>
      </c>
      <c r="AB125" s="64" t="s">
        <v>26</v>
      </c>
      <c r="AC125" s="64">
        <f>SUMIF(AJ111:AJ130,"공국",F111:F130)+SUMIF(AJ111:AJ130,"공공",F111:F130)</f>
        <v>0</v>
      </c>
      <c r="AD125" s="65">
        <f>SUMIF(AK111:AK130,"공국",K111:K130)+SUMIF(AK111:AK130,"공공",K111:K130)</f>
        <v>0</v>
      </c>
      <c r="AE125" s="64">
        <f t="shared" si="22"/>
        <v>0</v>
      </c>
      <c r="AF125" s="65">
        <f t="shared" si="22"/>
        <v>0</v>
      </c>
      <c r="AG125" s="64" t="s">
        <v>26</v>
      </c>
      <c r="AH125" s="64">
        <f t="shared" si="23"/>
        <v>0</v>
      </c>
      <c r="AI125" s="65">
        <f t="shared" si="23"/>
        <v>0</v>
      </c>
      <c r="AJ125" s="64" t="str">
        <f t="shared" si="24"/>
        <v/>
      </c>
      <c r="AK125" s="64" t="str">
        <f t="shared" si="16"/>
        <v/>
      </c>
      <c r="AL125" s="66"/>
      <c r="AM125" s="66"/>
    </row>
    <row r="126" spans="1:39" s="67" customFormat="1" ht="24" hidden="1" customHeight="1" x14ac:dyDescent="0.15">
      <c r="A126" s="349" t="s">
        <v>104</v>
      </c>
      <c r="B126" s="222"/>
      <c r="C126" s="609"/>
      <c r="D126" s="133"/>
      <c r="E126" s="154"/>
      <c r="F126" s="177"/>
      <c r="G126" s="505"/>
      <c r="H126" s="492"/>
      <c r="I126" s="492"/>
      <c r="J126" s="506"/>
      <c r="K126" s="493"/>
      <c r="L126" s="128"/>
      <c r="M126" s="128"/>
      <c r="N126" s="425"/>
      <c r="O126" s="425"/>
      <c r="P126" s="203"/>
      <c r="Q126" s="203"/>
      <c r="R126" s="203"/>
      <c r="S126" s="342"/>
      <c r="T126" s="70" t="s">
        <v>40</v>
      </c>
      <c r="U126" s="64">
        <f>COUNTIF(D111:D130,"장")</f>
        <v>0</v>
      </c>
      <c r="V126" s="65">
        <f>COUNTIF(I111:I130,"장")</f>
        <v>0</v>
      </c>
      <c r="W126" s="64" t="s">
        <v>26</v>
      </c>
      <c r="X126" s="64">
        <f>SUMIF(D111:D130,"장",F111:F130)</f>
        <v>0</v>
      </c>
      <c r="Y126" s="65">
        <f>SUMIF(I111:I130,"장",K111:K130)</f>
        <v>0</v>
      </c>
      <c r="Z126" s="64">
        <f>COUNTIF(AJ111:AJ130,"장국")+COUNTIF(AJ111:AJ130,"장공")</f>
        <v>0</v>
      </c>
      <c r="AA126" s="65">
        <f>COUNTIF(AK111:AK130,"장국")+COUNTIF(AK111:AK130,"장공")</f>
        <v>0</v>
      </c>
      <c r="AB126" s="64" t="s">
        <v>26</v>
      </c>
      <c r="AC126" s="64">
        <f>SUMIF(AJ111:AJ130,"장국",F111:F130)+SUMIF(AJ111:AJ130,"장공",F111:F130)</f>
        <v>0</v>
      </c>
      <c r="AD126" s="65">
        <f>SUMIF(AK111:AK130,"장국",K111:K130)+SUMIF(AK111:AK130,"장공",K111:K130)</f>
        <v>0</v>
      </c>
      <c r="AE126" s="64">
        <f t="shared" si="22"/>
        <v>0</v>
      </c>
      <c r="AF126" s="65">
        <f t="shared" si="22"/>
        <v>0</v>
      </c>
      <c r="AG126" s="64" t="s">
        <v>26</v>
      </c>
      <c r="AH126" s="64">
        <f t="shared" si="23"/>
        <v>0</v>
      </c>
      <c r="AI126" s="65">
        <f t="shared" si="23"/>
        <v>0</v>
      </c>
      <c r="AJ126" s="64" t="str">
        <f t="shared" si="24"/>
        <v/>
      </c>
      <c r="AK126" s="64" t="str">
        <f t="shared" si="16"/>
        <v/>
      </c>
      <c r="AL126" s="66"/>
      <c r="AM126" s="66"/>
    </row>
    <row r="127" spans="1:39" s="67" customFormat="1" ht="24" hidden="1" customHeight="1" x14ac:dyDescent="0.15">
      <c r="A127" s="348">
        <v>117</v>
      </c>
      <c r="B127" s="222"/>
      <c r="C127" s="609"/>
      <c r="D127" s="133"/>
      <c r="E127" s="357"/>
      <c r="F127" s="357"/>
      <c r="G127" s="417"/>
      <c r="H127" s="492"/>
      <c r="I127" s="492"/>
      <c r="J127" s="417"/>
      <c r="K127" s="417"/>
      <c r="L127" s="128"/>
      <c r="M127" s="128"/>
      <c r="N127" s="425"/>
      <c r="O127" s="425"/>
      <c r="P127" s="353"/>
      <c r="Q127" s="353"/>
      <c r="R127" s="353"/>
      <c r="S127" s="342"/>
      <c r="T127" s="70" t="s">
        <v>2</v>
      </c>
      <c r="U127" s="64">
        <f>COUNTIF(D111:D130,"창")</f>
        <v>0</v>
      </c>
      <c r="V127" s="65">
        <f>COUNTIF(I111:I130,"창")</f>
        <v>0</v>
      </c>
      <c r="W127" s="64" t="s">
        <v>26</v>
      </c>
      <c r="X127" s="64">
        <f>SUMIF(D111:D130,"창",F111:F130)</f>
        <v>0</v>
      </c>
      <c r="Y127" s="65">
        <f>SUMIF(I111:I130,"창",K111:K130)</f>
        <v>0</v>
      </c>
      <c r="Z127" s="64">
        <f>COUNTIF(AJ111:AJ130,"창국")+COUNTIF(AJ111:AJ130,"창공")</f>
        <v>0</v>
      </c>
      <c r="AA127" s="65">
        <f>COUNTIF(AK111:AK130,"창국")+COUNTIF(AK111:AK130,"창공")</f>
        <v>0</v>
      </c>
      <c r="AB127" s="64" t="s">
        <v>26</v>
      </c>
      <c r="AC127" s="64">
        <f>SUMIF(AJ111:AJ130,"창국",F111:F130)+SUMIF(AJ111:AJ130,"창공",F111:F130)</f>
        <v>0</v>
      </c>
      <c r="AD127" s="65">
        <f>SUMIF(AK111:AK130,"창국",K111:K130)+SUMIF(AK111:AK130,"창공",K111:K130)</f>
        <v>0</v>
      </c>
      <c r="AE127" s="64">
        <f t="shared" si="22"/>
        <v>0</v>
      </c>
      <c r="AF127" s="65">
        <f t="shared" si="22"/>
        <v>0</v>
      </c>
      <c r="AG127" s="64" t="s">
        <v>26</v>
      </c>
      <c r="AH127" s="64">
        <f t="shared" si="23"/>
        <v>0</v>
      </c>
      <c r="AI127" s="65">
        <f t="shared" si="23"/>
        <v>0</v>
      </c>
      <c r="AJ127" s="64" t="str">
        <f t="shared" si="24"/>
        <v/>
      </c>
      <c r="AK127" s="64" t="str">
        <f t="shared" si="16"/>
        <v/>
      </c>
      <c r="AL127" s="66"/>
      <c r="AM127" s="66"/>
    </row>
    <row r="128" spans="1:39" s="67" customFormat="1" ht="24" hidden="1" customHeight="1" x14ac:dyDescent="0.15">
      <c r="A128" s="348">
        <v>118</v>
      </c>
      <c r="B128" s="222"/>
      <c r="C128" s="607"/>
      <c r="D128" s="136"/>
      <c r="E128" s="134"/>
      <c r="F128" s="357"/>
      <c r="G128" s="417"/>
      <c r="H128" s="498"/>
      <c r="I128" s="347"/>
      <c r="J128" s="344"/>
      <c r="K128" s="417"/>
      <c r="L128" s="128"/>
      <c r="M128" s="128"/>
      <c r="N128" s="425"/>
      <c r="O128" s="425"/>
      <c r="P128" s="138"/>
      <c r="Q128" s="138"/>
      <c r="R128" s="102"/>
      <c r="S128" s="342"/>
      <c r="T128" s="70"/>
      <c r="U128" s="70"/>
      <c r="V128" s="71"/>
      <c r="W128" s="70"/>
      <c r="X128" s="70"/>
      <c r="Y128" s="71"/>
      <c r="Z128" s="64"/>
      <c r="AA128" s="65"/>
      <c r="AB128" s="70"/>
      <c r="AC128" s="64"/>
      <c r="AD128" s="65"/>
      <c r="AE128" s="70"/>
      <c r="AF128" s="71"/>
      <c r="AG128" s="70"/>
      <c r="AH128" s="70"/>
      <c r="AI128" s="71"/>
      <c r="AJ128" s="64" t="str">
        <f t="shared" si="24"/>
        <v/>
      </c>
      <c r="AK128" s="64" t="str">
        <f t="shared" si="16"/>
        <v/>
      </c>
      <c r="AL128" s="66"/>
      <c r="AM128" s="66"/>
    </row>
    <row r="129" spans="1:39" s="67" customFormat="1" ht="24" hidden="1" customHeight="1" x14ac:dyDescent="0.15">
      <c r="A129" s="350" t="s">
        <v>107</v>
      </c>
      <c r="B129" s="222"/>
      <c r="C129" s="609"/>
      <c r="D129" s="133"/>
      <c r="E129" s="154"/>
      <c r="F129" s="177"/>
      <c r="G129" s="505"/>
      <c r="H129" s="347"/>
      <c r="I129" s="492"/>
      <c r="J129" s="506"/>
      <c r="K129" s="493"/>
      <c r="L129" s="128"/>
      <c r="M129" s="128"/>
      <c r="N129" s="425"/>
      <c r="O129" s="425"/>
      <c r="P129" s="203"/>
      <c r="Q129" s="203"/>
      <c r="R129" s="203"/>
      <c r="S129" s="342"/>
      <c r="T129" s="70"/>
      <c r="U129" s="70"/>
      <c r="V129" s="71"/>
      <c r="W129" s="70"/>
      <c r="X129" s="70"/>
      <c r="Y129" s="71"/>
      <c r="Z129" s="64"/>
      <c r="AA129" s="65"/>
      <c r="AB129" s="70"/>
      <c r="AC129" s="64"/>
      <c r="AD129" s="65"/>
      <c r="AE129" s="70"/>
      <c r="AF129" s="71"/>
      <c r="AG129" s="70"/>
      <c r="AH129" s="70"/>
      <c r="AI129" s="71"/>
      <c r="AJ129" s="64" t="str">
        <f t="shared" si="24"/>
        <v/>
      </c>
      <c r="AK129" s="64" t="str">
        <f t="shared" si="16"/>
        <v/>
      </c>
      <c r="AL129" s="66"/>
      <c r="AM129" s="66"/>
    </row>
    <row r="130" spans="1:39" s="67" customFormat="1" ht="24" hidden="1" customHeight="1" x14ac:dyDescent="0.15">
      <c r="A130" s="349" t="s">
        <v>108</v>
      </c>
      <c r="B130" s="222"/>
      <c r="C130" s="607"/>
      <c r="D130" s="133"/>
      <c r="E130" s="134"/>
      <c r="F130" s="357"/>
      <c r="G130" s="417"/>
      <c r="H130" s="498"/>
      <c r="I130" s="347"/>
      <c r="J130" s="344"/>
      <c r="K130" s="417"/>
      <c r="L130" s="128"/>
      <c r="M130" s="128"/>
      <c r="N130" s="425"/>
      <c r="O130" s="425"/>
      <c r="P130" s="153"/>
      <c r="Q130" s="559"/>
      <c r="R130" s="153"/>
      <c r="S130" s="342"/>
      <c r="T130" s="72" t="s">
        <v>37</v>
      </c>
      <c r="U130" s="72">
        <f>COUNTIF(D111:D130,"철")</f>
        <v>0</v>
      </c>
      <c r="V130" s="73">
        <f>COUNTIF(I111:I130,"철")</f>
        <v>0</v>
      </c>
      <c r="W130" s="72" t="s">
        <v>26</v>
      </c>
      <c r="X130" s="72">
        <f>SUMIF(D111:D130,"철",F111:F130)</f>
        <v>0</v>
      </c>
      <c r="Y130" s="73">
        <f>SUMIF(I111:I130,"철",K111:K130)</f>
        <v>0</v>
      </c>
      <c r="Z130" s="64">
        <f>COUNTIF(AJ111:AJ130,"철국")+COUNTIF(AJ111:AJ130,"철공")</f>
        <v>0</v>
      </c>
      <c r="AA130" s="65">
        <f>COUNTIF(AK111:AK130,"철국")+COUNTIF(AK111:AK130,"철공")</f>
        <v>0</v>
      </c>
      <c r="AB130" s="72" t="s">
        <v>26</v>
      </c>
      <c r="AC130" s="64">
        <f>SUMIF(AJ111:AJ130,"철국",F111:F130)+SUMIF(AJ111:AJ130,"철공",F111:F130)</f>
        <v>0</v>
      </c>
      <c r="AD130" s="65">
        <f>SUMIF(AK111:AK130,"철국",K111:K130)+SUMIF(AK111:AK130,"철공",K111:K130)</f>
        <v>0</v>
      </c>
      <c r="AE130" s="72"/>
      <c r="AF130" s="73"/>
      <c r="AG130" s="72"/>
      <c r="AH130" s="72"/>
      <c r="AI130" s="73"/>
      <c r="AJ130" s="64" t="str">
        <f t="shared" si="24"/>
        <v/>
      </c>
      <c r="AK130" s="64" t="str">
        <f t="shared" si="16"/>
        <v/>
      </c>
      <c r="AL130" s="66"/>
      <c r="AM130" s="66"/>
    </row>
    <row r="131" spans="1:39" s="57" customFormat="1" ht="24" hidden="1" customHeight="1" thickBot="1" x14ac:dyDescent="0.2">
      <c r="A131" s="147" t="s">
        <v>48</v>
      </c>
      <c r="B131" s="148"/>
      <c r="C131" s="148"/>
      <c r="D131" s="148"/>
      <c r="E131" s="148"/>
      <c r="F131" s="149">
        <f>SUM(F111:F130)</f>
        <v>0</v>
      </c>
      <c r="G131" s="496"/>
      <c r="H131" s="496"/>
      <c r="I131" s="497"/>
      <c r="J131" s="516"/>
      <c r="K131" s="529">
        <f>SUM(K111:K130)</f>
        <v>0</v>
      </c>
      <c r="L131" s="150"/>
      <c r="M131" s="150"/>
      <c r="N131" s="432"/>
      <c r="O131" s="432"/>
      <c r="P131" s="150"/>
      <c r="Q131" s="150"/>
      <c r="R131" s="150"/>
      <c r="S131" s="151"/>
      <c r="T131" s="62" t="s">
        <v>24</v>
      </c>
      <c r="U131" s="63">
        <f t="shared" ref="U131:AA131" si="25">SUM(U111:U130)</f>
        <v>0</v>
      </c>
      <c r="V131" s="63">
        <f t="shared" si="25"/>
        <v>0</v>
      </c>
      <c r="W131" s="63">
        <f t="shared" si="25"/>
        <v>0</v>
      </c>
      <c r="X131" s="63">
        <f t="shared" si="25"/>
        <v>0</v>
      </c>
      <c r="Y131" s="63">
        <f t="shared" si="25"/>
        <v>0</v>
      </c>
      <c r="Z131" s="277">
        <f t="shared" si="25"/>
        <v>0</v>
      </c>
      <c r="AA131" s="278">
        <f t="shared" si="25"/>
        <v>0</v>
      </c>
      <c r="AB131" s="277" t="s">
        <v>26</v>
      </c>
      <c r="AC131" s="277">
        <f>SUM(AC111:AC130)</f>
        <v>0</v>
      </c>
      <c r="AD131" s="278">
        <f>SUM(AD111:AD130)</f>
        <v>0</v>
      </c>
      <c r="AE131" s="63">
        <f>SUM(AE111:AE130)</f>
        <v>0</v>
      </c>
      <c r="AF131" s="63">
        <f>SUM(AF111:AF130)</f>
        <v>0</v>
      </c>
      <c r="AG131" s="63" t="s">
        <v>26</v>
      </c>
      <c r="AH131" s="63">
        <f>SUM(AH111:AH130)</f>
        <v>0</v>
      </c>
      <c r="AI131" s="63">
        <f>SUM(AI111:AI130)</f>
        <v>0</v>
      </c>
      <c r="AJ131" s="63"/>
      <c r="AK131" s="64" t="str">
        <f t="shared" si="16"/>
        <v/>
      </c>
    </row>
    <row r="132" spans="1:39" s="67" customFormat="1" ht="24" hidden="1" customHeight="1" x14ac:dyDescent="0.15">
      <c r="A132" s="139">
        <v>121</v>
      </c>
      <c r="B132" s="536"/>
      <c r="C132" s="216"/>
      <c r="D132" s="140"/>
      <c r="E132" s="142"/>
      <c r="F132" s="369"/>
      <c r="G132" s="488"/>
      <c r="H132" s="501"/>
      <c r="I132" s="502"/>
      <c r="J132" s="490"/>
      <c r="K132" s="488"/>
      <c r="L132" s="144"/>
      <c r="M132" s="144"/>
      <c r="N132" s="438"/>
      <c r="O132" s="438"/>
      <c r="P132" s="539"/>
      <c r="Q132" s="539"/>
      <c r="R132" s="539"/>
      <c r="S132" s="540"/>
      <c r="T132" s="64" t="s">
        <v>27</v>
      </c>
      <c r="U132" s="64">
        <f>COUNTIF(D132:D151,"전")</f>
        <v>0</v>
      </c>
      <c r="V132" s="65">
        <f>COUNTIF(I132:I151,"전")</f>
        <v>0</v>
      </c>
      <c r="W132" s="64" t="s">
        <v>26</v>
      </c>
      <c r="X132" s="64">
        <f>SUMIF(D132:D151,"전",F132:F151)</f>
        <v>0</v>
      </c>
      <c r="Y132" s="65">
        <f>SUMIF(I132:I151,"전",K132:K151)</f>
        <v>0</v>
      </c>
      <c r="Z132" s="64">
        <f>COUNTIF(AJ132:AJ151,"전국")+COUNTIF(AJ132:AJ151,"전공")</f>
        <v>0</v>
      </c>
      <c r="AA132" s="65">
        <f>COUNTIF(AK132:AK151,"전국")+COUNTIF(AK132:AK151,"전공")</f>
        <v>0</v>
      </c>
      <c r="AB132" s="64" t="s">
        <v>26</v>
      </c>
      <c r="AC132" s="64">
        <f>SUMIF(AJ132:AJ151,"전국",F132:F151)+SUMIF(AJ132:AJ151,"전공",F132:F151)</f>
        <v>0</v>
      </c>
      <c r="AD132" s="65">
        <f>SUMIF(AK132:AK151,"전국",K132:K151)+SUMIF(AK132:AK151,"전공",K132:K151)</f>
        <v>0</v>
      </c>
      <c r="AE132" s="64">
        <f t="shared" ref="AE132:AF148" si="26">U132-Z132</f>
        <v>0</v>
      </c>
      <c r="AF132" s="65">
        <f t="shared" si="26"/>
        <v>0</v>
      </c>
      <c r="AG132" s="64" t="s">
        <v>26</v>
      </c>
      <c r="AH132" s="64">
        <f t="shared" ref="AH132:AI148" si="27">X132-AC132</f>
        <v>0</v>
      </c>
      <c r="AI132" s="65">
        <f t="shared" si="27"/>
        <v>0</v>
      </c>
      <c r="AJ132" s="64" t="str">
        <f t="shared" ref="AJ132:AJ151" si="28">CONCATENATE(D132,L132)</f>
        <v/>
      </c>
      <c r="AK132" s="64" t="str">
        <f t="shared" si="16"/>
        <v/>
      </c>
    </row>
    <row r="133" spans="1:39" s="67" customFormat="1" ht="24" hidden="1" customHeight="1" x14ac:dyDescent="0.15">
      <c r="A133" s="146">
        <v>122</v>
      </c>
      <c r="B133" s="121"/>
      <c r="C133" s="133"/>
      <c r="D133" s="133"/>
      <c r="E133" s="134"/>
      <c r="F133" s="135"/>
      <c r="G133" s="417"/>
      <c r="H133" s="492"/>
      <c r="I133" s="492"/>
      <c r="J133" s="344"/>
      <c r="K133" s="507"/>
      <c r="L133" s="128"/>
      <c r="M133" s="128"/>
      <c r="N133" s="425"/>
      <c r="O133" s="425"/>
      <c r="P133" s="106"/>
      <c r="Q133" s="106"/>
      <c r="R133" s="106"/>
      <c r="S133" s="541"/>
      <c r="T133" s="64" t="s">
        <v>28</v>
      </c>
      <c r="U133" s="64">
        <f>COUNTIF(D132:D151,"답")</f>
        <v>0</v>
      </c>
      <c r="V133" s="65">
        <f>COUNTIF(I132:I151,"답")</f>
        <v>0</v>
      </c>
      <c r="W133" s="64" t="s">
        <v>26</v>
      </c>
      <c r="X133" s="64">
        <f>SUMIF(D132:D151,"답",F132:F151)</f>
        <v>0</v>
      </c>
      <c r="Y133" s="65">
        <f>SUMIF(I132:I151,"답",K132:K151)</f>
        <v>0</v>
      </c>
      <c r="Z133" s="64">
        <f>COUNTIF(AJ132:AJ151,"답국")+COUNTIF(AJ132:AJ151,"답공")</f>
        <v>0</v>
      </c>
      <c r="AA133" s="65">
        <f>COUNTIF(AK132:AK151,"답국")+COUNTIF(AK132:AK151,"답공")</f>
        <v>0</v>
      </c>
      <c r="AB133" s="64" t="s">
        <v>26</v>
      </c>
      <c r="AC133" s="64">
        <f>SUMIF(AJ132:AJ151,"답국",F132:F151)+SUMIF(AJ132:AJ151,"답공",F132:F151)</f>
        <v>0</v>
      </c>
      <c r="AD133" s="65">
        <f>SUMIF(AK132:AK151,"답국",K132:K151)+SUMIF(AK132:AK151,"답공",K132:K151)</f>
        <v>0</v>
      </c>
      <c r="AE133" s="64">
        <f t="shared" si="26"/>
        <v>0</v>
      </c>
      <c r="AF133" s="65">
        <f t="shared" si="26"/>
        <v>0</v>
      </c>
      <c r="AG133" s="64" t="s">
        <v>26</v>
      </c>
      <c r="AH133" s="64">
        <f t="shared" si="27"/>
        <v>0</v>
      </c>
      <c r="AI133" s="65">
        <f t="shared" si="27"/>
        <v>0</v>
      </c>
      <c r="AJ133" s="64" t="str">
        <f t="shared" si="28"/>
        <v/>
      </c>
      <c r="AK133" s="64" t="str">
        <f t="shared" si="16"/>
        <v/>
      </c>
    </row>
    <row r="134" spans="1:39" s="67" customFormat="1" ht="24" hidden="1" customHeight="1" x14ac:dyDescent="0.15">
      <c r="A134" s="146">
        <v>123</v>
      </c>
      <c r="B134" s="121"/>
      <c r="C134" s="133"/>
      <c r="D134" s="133"/>
      <c r="E134" s="134"/>
      <c r="F134" s="135"/>
      <c r="G134" s="417"/>
      <c r="H134" s="494"/>
      <c r="I134" s="492"/>
      <c r="J134" s="344"/>
      <c r="K134" s="507"/>
      <c r="L134" s="128"/>
      <c r="M134" s="128"/>
      <c r="N134" s="425"/>
      <c r="O134" s="425"/>
      <c r="P134" s="106"/>
      <c r="Q134" s="106"/>
      <c r="R134" s="106"/>
      <c r="S134" s="541"/>
      <c r="T134" s="64" t="s">
        <v>44</v>
      </c>
      <c r="U134" s="64">
        <f>COUNTIF(D132:D151,"임")</f>
        <v>0</v>
      </c>
      <c r="V134" s="65">
        <f>COUNTIF(I132:I151,"임")</f>
        <v>0</v>
      </c>
      <c r="W134" s="64" t="s">
        <v>26</v>
      </c>
      <c r="X134" s="64">
        <f>SUMIF(D132:D151,"임",F132:F151)</f>
        <v>0</v>
      </c>
      <c r="Y134" s="65">
        <f>SUMIF(I132:I151,"임",K132:K151)</f>
        <v>0</v>
      </c>
      <c r="Z134" s="64">
        <f>COUNTIF(AJ132:AJ151,"임국")+COUNTIF(AJ132:AJ151,"임공")</f>
        <v>0</v>
      </c>
      <c r="AA134" s="65">
        <f>COUNTIF(AK132:AK151,"임국")+COUNTIF(AK132:AK151,"임공")</f>
        <v>0</v>
      </c>
      <c r="AB134" s="64" t="s">
        <v>26</v>
      </c>
      <c r="AC134" s="64">
        <f>SUMIF(AJ132:AJ151,"임국",F132:F151)+SUMIF(AJ132:AJ151,"임공",F132:F151)</f>
        <v>0</v>
      </c>
      <c r="AD134" s="65">
        <f>SUMIF(AK132:AK151,"임국",K132:K151)+SUMIF(AK132:AK151,"임공",K132:K151)</f>
        <v>0</v>
      </c>
      <c r="AE134" s="64">
        <f t="shared" si="26"/>
        <v>0</v>
      </c>
      <c r="AF134" s="65">
        <f t="shared" si="26"/>
        <v>0</v>
      </c>
      <c r="AG134" s="64" t="s">
        <v>26</v>
      </c>
      <c r="AH134" s="64">
        <f t="shared" si="27"/>
        <v>0</v>
      </c>
      <c r="AI134" s="65">
        <f t="shared" si="27"/>
        <v>0</v>
      </c>
      <c r="AJ134" s="64" t="str">
        <f t="shared" si="28"/>
        <v/>
      </c>
      <c r="AK134" s="64" t="str">
        <f t="shared" si="16"/>
        <v/>
      </c>
      <c r="AL134" s="66"/>
      <c r="AM134" s="66"/>
    </row>
    <row r="135" spans="1:39" s="67" customFormat="1" ht="24" hidden="1" customHeight="1" x14ac:dyDescent="0.15">
      <c r="A135" s="146">
        <v>124</v>
      </c>
      <c r="B135" s="121"/>
      <c r="C135" s="133"/>
      <c r="D135" s="133"/>
      <c r="E135" s="134"/>
      <c r="F135" s="135"/>
      <c r="G135" s="417"/>
      <c r="H135" s="492"/>
      <c r="I135" s="492"/>
      <c r="J135" s="344"/>
      <c r="K135" s="507"/>
      <c r="L135" s="128"/>
      <c r="M135" s="128"/>
      <c r="N135" s="425"/>
      <c r="O135" s="425"/>
      <c r="P135" s="106"/>
      <c r="Q135" s="106"/>
      <c r="R135" s="106"/>
      <c r="S135" s="541"/>
      <c r="T135" s="64" t="s">
        <v>45</v>
      </c>
      <c r="U135" s="64">
        <f>COUNTIF(D132:D151,"대")</f>
        <v>0</v>
      </c>
      <c r="V135" s="65">
        <f>COUNTIF(I132:I151,"대")</f>
        <v>0</v>
      </c>
      <c r="W135" s="64" t="s">
        <v>26</v>
      </c>
      <c r="X135" s="64">
        <f>SUMIF(D132:D151,"대",F132:F151)</f>
        <v>0</v>
      </c>
      <c r="Y135" s="65">
        <f>SUMIF(I132:I151,"대",K132:K151)</f>
        <v>0</v>
      </c>
      <c r="Z135" s="64">
        <f>COUNTIF(AJ132:AJ151,"대국")+COUNTIF(AJ132:AJ151,"대공")</f>
        <v>0</v>
      </c>
      <c r="AA135" s="65">
        <f>COUNTIF(AK132:AK151,"대국")+COUNTIF(AK132:AK151,"대공")</f>
        <v>0</v>
      </c>
      <c r="AB135" s="64" t="s">
        <v>26</v>
      </c>
      <c r="AC135" s="64">
        <f>SUMIF(AJ132:AJ151,"대국",F132:F151)+SUMIF(AJ132:AJ151,"대공",F132:F151)</f>
        <v>0</v>
      </c>
      <c r="AD135" s="65">
        <f>SUMIF(AK132:AK151,"대국",K132:K151)+SUMIF(AK132:AK151,"대공",K132:K151)</f>
        <v>0</v>
      </c>
      <c r="AE135" s="64">
        <f t="shared" si="26"/>
        <v>0</v>
      </c>
      <c r="AF135" s="65">
        <f t="shared" si="26"/>
        <v>0</v>
      </c>
      <c r="AG135" s="64" t="s">
        <v>26</v>
      </c>
      <c r="AH135" s="64">
        <f t="shared" si="27"/>
        <v>0</v>
      </c>
      <c r="AI135" s="65">
        <f t="shared" si="27"/>
        <v>0</v>
      </c>
      <c r="AJ135" s="64" t="str">
        <f t="shared" si="28"/>
        <v/>
      </c>
      <c r="AK135" s="64" t="str">
        <f t="shared" ref="AK135:AK198" si="29">CONCATENATE(I135,N135)</f>
        <v/>
      </c>
      <c r="AL135" s="66"/>
      <c r="AM135" s="66"/>
    </row>
    <row r="136" spans="1:39" s="67" customFormat="1" ht="24" hidden="1" customHeight="1" x14ac:dyDescent="0.15">
      <c r="A136" s="146">
        <v>125</v>
      </c>
      <c r="B136" s="121"/>
      <c r="C136" s="133"/>
      <c r="D136" s="133"/>
      <c r="E136" s="134"/>
      <c r="F136" s="135"/>
      <c r="G136" s="417"/>
      <c r="H136" s="492"/>
      <c r="I136" s="492"/>
      <c r="J136" s="344"/>
      <c r="K136" s="507"/>
      <c r="L136" s="128"/>
      <c r="M136" s="128"/>
      <c r="N136" s="425"/>
      <c r="O136" s="425"/>
      <c r="P136" s="534"/>
      <c r="Q136" s="535"/>
      <c r="R136" s="534"/>
      <c r="S136" s="541"/>
      <c r="T136" s="64" t="s">
        <v>31</v>
      </c>
      <c r="U136" s="64">
        <f>COUNTIF(D132:D151,"도")</f>
        <v>0</v>
      </c>
      <c r="V136" s="65">
        <f>COUNTIF(I132:I151,"도")</f>
        <v>0</v>
      </c>
      <c r="W136" s="64" t="s">
        <v>26</v>
      </c>
      <c r="X136" s="64">
        <f>SUMIF(D132:D151,"도",F132:F151)</f>
        <v>0</v>
      </c>
      <c r="Y136" s="65">
        <f>SUMIF(I132:I151,"도",K132:K151)</f>
        <v>0</v>
      </c>
      <c r="Z136" s="64">
        <f>COUNTIF(AJ132:AJ151,"도국")+COUNTIF(AJ132:AJ151,"도공")</f>
        <v>0</v>
      </c>
      <c r="AA136" s="65">
        <f>COUNTIF(AK132:AK151,"도국")+COUNTIF(AK132:AK151,"도공")</f>
        <v>0</v>
      </c>
      <c r="AB136" s="64" t="s">
        <v>26</v>
      </c>
      <c r="AC136" s="64">
        <f>SUMIF(AJ132:AJ151,"도국",F132:F151)+SUMIF(AJ132:AJ151,"도공",F132:F151)</f>
        <v>0</v>
      </c>
      <c r="AD136" s="65">
        <f>SUMIF(AK132:AK151,"도국",K132:K151)+SUMIF(AK132:AK151,"도공",K132:K151)</f>
        <v>0</v>
      </c>
      <c r="AE136" s="64">
        <f t="shared" si="26"/>
        <v>0</v>
      </c>
      <c r="AF136" s="65">
        <f t="shared" si="26"/>
        <v>0</v>
      </c>
      <c r="AG136" s="64" t="s">
        <v>26</v>
      </c>
      <c r="AH136" s="64">
        <f t="shared" si="27"/>
        <v>0</v>
      </c>
      <c r="AI136" s="65">
        <f t="shared" si="27"/>
        <v>0</v>
      </c>
      <c r="AJ136" s="64" t="str">
        <f t="shared" si="28"/>
        <v/>
      </c>
      <c r="AK136" s="64" t="str">
        <f t="shared" si="29"/>
        <v/>
      </c>
      <c r="AL136" s="66"/>
      <c r="AM136" s="66"/>
    </row>
    <row r="137" spans="1:39" s="67" customFormat="1" ht="24" hidden="1" customHeight="1" x14ac:dyDescent="0.15">
      <c r="A137" s="146">
        <v>126</v>
      </c>
      <c r="B137" s="121"/>
      <c r="C137" s="133"/>
      <c r="D137" s="133"/>
      <c r="E137" s="134"/>
      <c r="F137" s="135"/>
      <c r="G137" s="417"/>
      <c r="H137" s="492"/>
      <c r="I137" s="492"/>
      <c r="J137" s="344"/>
      <c r="K137" s="507"/>
      <c r="L137" s="128"/>
      <c r="M137" s="128"/>
      <c r="N137" s="425"/>
      <c r="O137" s="425"/>
      <c r="P137" s="106"/>
      <c r="Q137" s="106"/>
      <c r="R137" s="106"/>
      <c r="S137" s="541"/>
      <c r="T137" s="64" t="s">
        <v>32</v>
      </c>
      <c r="U137" s="68">
        <f>COUNTIF(D132:D151,"천")</f>
        <v>0</v>
      </c>
      <c r="V137" s="69">
        <f>COUNTIF(I132:I151,"천")</f>
        <v>0</v>
      </c>
      <c r="W137" s="64" t="s">
        <v>26</v>
      </c>
      <c r="X137" s="64">
        <f>SUMIF(D132:D151,"천",F132:F151)</f>
        <v>0</v>
      </c>
      <c r="Y137" s="65">
        <f>SUMIF(I132:I151,"천",K132:K151)</f>
        <v>0</v>
      </c>
      <c r="Z137" s="10">
        <f>COUNTIF(AJ132:AJ151,"천국")+COUNTIF(AJ132:AJ151,"천공")</f>
        <v>0</v>
      </c>
      <c r="AA137" s="42">
        <f>COUNTIF(AK132:AK151,"천국")+COUNTIF(AK132:AK151,"천공")</f>
        <v>0</v>
      </c>
      <c r="AB137" s="10" t="s">
        <v>26</v>
      </c>
      <c r="AC137" s="10">
        <f>SUMIF(AJ132:AJ151,"천국",F132:F151)+SUMIF(AJ132:AJ151,"천공",F132:F151)</f>
        <v>0</v>
      </c>
      <c r="AD137" s="42">
        <f>SUMIF(AK132:AK151,"천국",K132:K151)+SUMIF(AK132:AK151,"천공",K132:K151)</f>
        <v>0</v>
      </c>
      <c r="AE137" s="64">
        <f t="shared" si="26"/>
        <v>0</v>
      </c>
      <c r="AF137" s="65">
        <f t="shared" si="26"/>
        <v>0</v>
      </c>
      <c r="AG137" s="64" t="s">
        <v>26</v>
      </c>
      <c r="AH137" s="64">
        <f t="shared" si="27"/>
        <v>0</v>
      </c>
      <c r="AI137" s="65">
        <f t="shared" si="27"/>
        <v>0</v>
      </c>
      <c r="AJ137" s="64" t="str">
        <f t="shared" si="28"/>
        <v/>
      </c>
      <c r="AK137" s="64" t="str">
        <f t="shared" si="29"/>
        <v/>
      </c>
      <c r="AL137" s="66"/>
      <c r="AM137" s="66"/>
    </row>
    <row r="138" spans="1:39" s="67" customFormat="1" ht="24" hidden="1" customHeight="1" x14ac:dyDescent="0.15">
      <c r="A138" s="146">
        <v>127</v>
      </c>
      <c r="B138" s="121"/>
      <c r="C138" s="133"/>
      <c r="D138" s="133"/>
      <c r="E138" s="134"/>
      <c r="F138" s="135"/>
      <c r="G138" s="417"/>
      <c r="H138" s="492"/>
      <c r="I138" s="492"/>
      <c r="J138" s="344"/>
      <c r="K138" s="507"/>
      <c r="L138" s="128"/>
      <c r="M138" s="128"/>
      <c r="N138" s="425"/>
      <c r="O138" s="425"/>
      <c r="P138" s="106"/>
      <c r="Q138" s="106"/>
      <c r="R138" s="106"/>
      <c r="S138" s="541"/>
      <c r="T138" s="64" t="s">
        <v>33</v>
      </c>
      <c r="U138" s="64">
        <f>COUNTIF(D132:D151,"구")</f>
        <v>0</v>
      </c>
      <c r="V138" s="65">
        <f>COUNTIF(I132:I151,"구")</f>
        <v>0</v>
      </c>
      <c r="W138" s="64" t="s">
        <v>26</v>
      </c>
      <c r="X138" s="64">
        <f>SUMIF(D132:D151,"구",F132:F151)</f>
        <v>0</v>
      </c>
      <c r="Y138" s="65">
        <f>SUMIF(I132:I151,"구",K132:K151)</f>
        <v>0</v>
      </c>
      <c r="Z138" s="10">
        <f>COUNTIF(AJ132:AJ151,"구국")+COUNTIF(AJ132:AJ151,"구공")</f>
        <v>0</v>
      </c>
      <c r="AA138" s="42">
        <f>COUNTIF(AK132:AK151,"구국")+COUNTIF(AK132:AK151,"구공")</f>
        <v>0</v>
      </c>
      <c r="AB138" s="10" t="s">
        <v>26</v>
      </c>
      <c r="AC138" s="10">
        <f>SUMIF(AJ132:AJ151,"구국",F132:F151)+SUMIF(AJ132:AJ151,"구공",F132:F151)</f>
        <v>0</v>
      </c>
      <c r="AD138" s="42">
        <f>SUMIF(AK132:AK151,"구국",K132:K151)+SUMIF(AK132:AK151,"구공",K132:K151)</f>
        <v>0</v>
      </c>
      <c r="AE138" s="64">
        <f t="shared" si="26"/>
        <v>0</v>
      </c>
      <c r="AF138" s="65">
        <f t="shared" si="26"/>
        <v>0</v>
      </c>
      <c r="AG138" s="64" t="s">
        <v>26</v>
      </c>
      <c r="AH138" s="64">
        <f t="shared" si="27"/>
        <v>0</v>
      </c>
      <c r="AI138" s="65">
        <f t="shared" si="27"/>
        <v>0</v>
      </c>
      <c r="AJ138" s="64" t="str">
        <f t="shared" si="28"/>
        <v/>
      </c>
      <c r="AK138" s="64" t="str">
        <f t="shared" si="29"/>
        <v/>
      </c>
      <c r="AL138" s="66"/>
      <c r="AM138" s="66"/>
    </row>
    <row r="139" spans="1:39" s="67" customFormat="1" ht="24" hidden="1" customHeight="1" x14ac:dyDescent="0.15">
      <c r="A139" s="160">
        <v>128</v>
      </c>
      <c r="B139" s="127"/>
      <c r="C139" s="133"/>
      <c r="D139" s="133"/>
      <c r="E139" s="134"/>
      <c r="F139" s="135"/>
      <c r="G139" s="417"/>
      <c r="H139" s="492"/>
      <c r="I139" s="492"/>
      <c r="J139" s="344"/>
      <c r="K139" s="507"/>
      <c r="L139" s="128"/>
      <c r="M139" s="128"/>
      <c r="N139" s="425"/>
      <c r="O139" s="425"/>
      <c r="P139" s="106"/>
      <c r="Q139" s="106"/>
      <c r="R139" s="106"/>
      <c r="S139" s="541"/>
      <c r="T139" s="64" t="s">
        <v>34</v>
      </c>
      <c r="U139" s="64">
        <f>COUNTIF(D132:D151,"제")</f>
        <v>0</v>
      </c>
      <c r="V139" s="65">
        <f>COUNTIF(I132:I151,"제")</f>
        <v>0</v>
      </c>
      <c r="W139" s="64" t="s">
        <v>26</v>
      </c>
      <c r="X139" s="64">
        <f>SUMIF(D132:D151,"제",F132:F151)</f>
        <v>0</v>
      </c>
      <c r="Y139" s="65">
        <f>SUMIF(I132:I151,"제",K132:K151)</f>
        <v>0</v>
      </c>
      <c r="Z139" s="10">
        <f>COUNTIF(AJ132:AJ151,"제국")+COUNTIF(AJ132:AJ151,"제공")</f>
        <v>0</v>
      </c>
      <c r="AA139" s="42">
        <f>COUNTIF(AK132:AK151,"제국")+COUNTIF(AK132:AK151,"제공")</f>
        <v>0</v>
      </c>
      <c r="AB139" s="10" t="s">
        <v>26</v>
      </c>
      <c r="AC139" s="10">
        <f>SUMIF(AJ132:AJ151,"제국",F132:F151)+SUMIF(AJ132:AJ151,"제공",F132:F151)</f>
        <v>0</v>
      </c>
      <c r="AD139" s="42">
        <f>SUMIF(AK132:AK151,"제국",K132:K151)+SUMIF(AK132:AK151,"제공",K132:K151)</f>
        <v>0</v>
      </c>
      <c r="AE139" s="64">
        <f t="shared" si="26"/>
        <v>0</v>
      </c>
      <c r="AF139" s="65">
        <f t="shared" si="26"/>
        <v>0</v>
      </c>
      <c r="AG139" s="64" t="s">
        <v>26</v>
      </c>
      <c r="AH139" s="64">
        <f t="shared" si="27"/>
        <v>0</v>
      </c>
      <c r="AI139" s="65">
        <f t="shared" si="27"/>
        <v>0</v>
      </c>
      <c r="AJ139" s="64" t="str">
        <f t="shared" si="28"/>
        <v/>
      </c>
      <c r="AK139" s="64" t="str">
        <f t="shared" si="29"/>
        <v/>
      </c>
      <c r="AL139" s="66"/>
      <c r="AM139" s="66"/>
    </row>
    <row r="140" spans="1:39" s="67" customFormat="1" ht="24" hidden="1" customHeight="1" x14ac:dyDescent="0.15">
      <c r="A140" s="146">
        <v>129</v>
      </c>
      <c r="B140" s="121"/>
      <c r="C140" s="360"/>
      <c r="D140" s="133"/>
      <c r="E140" s="376"/>
      <c r="F140" s="634"/>
      <c r="G140" s="596"/>
      <c r="H140" s="598"/>
      <c r="I140" s="599"/>
      <c r="J140" s="600"/>
      <c r="K140" s="600"/>
      <c r="L140" s="588"/>
      <c r="M140" s="588"/>
      <c r="N140" s="595"/>
      <c r="O140" s="595"/>
      <c r="P140" s="589"/>
      <c r="Q140" s="589"/>
      <c r="R140" s="589"/>
      <c r="S140" s="541"/>
      <c r="T140" s="64" t="s">
        <v>46</v>
      </c>
      <c r="U140" s="64">
        <f>COUNTIF(D132:D151,"유")</f>
        <v>0</v>
      </c>
      <c r="V140" s="65">
        <f>COUNTIF(I132:I151,"유")</f>
        <v>0</v>
      </c>
      <c r="W140" s="64" t="s">
        <v>26</v>
      </c>
      <c r="X140" s="64">
        <f>SUMIF(D132:D151,"유",F132:F151)</f>
        <v>0</v>
      </c>
      <c r="Y140" s="65">
        <f>SUMIF(I132:I151,"유",K132:K151)</f>
        <v>0</v>
      </c>
      <c r="Z140" s="10">
        <f>COUNTIF(AJ132:AJ151,"유국")+COUNTIF(AJ132:AJ151,"유공")</f>
        <v>0</v>
      </c>
      <c r="AA140" s="42">
        <f>COUNTIF(AK132:AK151,"유국")+COUNTIF(AK132:AK151,"유공")</f>
        <v>0</v>
      </c>
      <c r="AB140" s="10" t="s">
        <v>26</v>
      </c>
      <c r="AC140" s="10">
        <f>SUMIF(AJ132:AJ151,"유국",F132:F151)+SUMIF(AJ132:AJ151,"유공",F132:F151)</f>
        <v>0</v>
      </c>
      <c r="AD140" s="42">
        <f>SUMIF(AK132:AK151,"유국",K132:K151)+SUMIF(AK132:AK151,"유공",K132:K151)</f>
        <v>0</v>
      </c>
      <c r="AE140" s="64">
        <f t="shared" si="26"/>
        <v>0</v>
      </c>
      <c r="AF140" s="65">
        <f t="shared" si="26"/>
        <v>0</v>
      </c>
      <c r="AG140" s="64" t="s">
        <v>26</v>
      </c>
      <c r="AH140" s="64">
        <f t="shared" si="27"/>
        <v>0</v>
      </c>
      <c r="AI140" s="65">
        <f t="shared" si="27"/>
        <v>0</v>
      </c>
      <c r="AJ140" s="64" t="str">
        <f t="shared" si="28"/>
        <v/>
      </c>
      <c r="AK140" s="64" t="str">
        <f t="shared" si="29"/>
        <v/>
      </c>
      <c r="AL140" s="66"/>
      <c r="AM140" s="66"/>
    </row>
    <row r="141" spans="1:39" s="67" customFormat="1" ht="24" hidden="1" customHeight="1" x14ac:dyDescent="0.15">
      <c r="A141" s="146">
        <v>130</v>
      </c>
      <c r="B141" s="121"/>
      <c r="C141" s="121"/>
      <c r="D141" s="133"/>
      <c r="E141" s="104"/>
      <c r="F141" s="343"/>
      <c r="G141" s="508"/>
      <c r="H141" s="498"/>
      <c r="I141" s="347"/>
      <c r="J141" s="344"/>
      <c r="K141" s="417"/>
      <c r="L141" s="121"/>
      <c r="M141" s="322"/>
      <c r="N141" s="435"/>
      <c r="O141" s="435"/>
      <c r="P141" s="106"/>
      <c r="Q141" s="106"/>
      <c r="R141" s="106"/>
      <c r="S141" s="541"/>
      <c r="T141" s="64" t="s">
        <v>47</v>
      </c>
      <c r="U141" s="64">
        <f>COUNTIF(D132:D151,"과")</f>
        <v>0</v>
      </c>
      <c r="V141" s="65">
        <f>COUNTIF(I132:I151,"과")</f>
        <v>0</v>
      </c>
      <c r="W141" s="64" t="s">
        <v>26</v>
      </c>
      <c r="X141" s="64">
        <f>SUMIF(D132:D151,"과",F132:F151)</f>
        <v>0</v>
      </c>
      <c r="Y141" s="65">
        <f>SUMIF(I132:I151,"과",K132:K151)</f>
        <v>0</v>
      </c>
      <c r="Z141" s="10">
        <f>COUNTIF(AJ132:AJ151,"과국")+COUNTIF(AJ132:AJ151,"과공")</f>
        <v>0</v>
      </c>
      <c r="AA141" s="42">
        <f>COUNTIF(AK132:AK151,"과국")+COUNTIF(AK132:AK151,"과공")</f>
        <v>0</v>
      </c>
      <c r="AB141" s="10" t="s">
        <v>26</v>
      </c>
      <c r="AC141" s="10">
        <f>SUMIF(AJ132:AJ151,"과국",F132:F151)+SUMIF(AJ132:AJ151,"과공",F132:F151)</f>
        <v>0</v>
      </c>
      <c r="AD141" s="42">
        <f>SUMIF(AK132:AK151,"과국",K132:K151)+SUMIF(AK132:AK151,"과공",K132:K151)</f>
        <v>0</v>
      </c>
      <c r="AE141" s="64">
        <f t="shared" si="26"/>
        <v>0</v>
      </c>
      <c r="AF141" s="65">
        <f t="shared" si="26"/>
        <v>0</v>
      </c>
      <c r="AG141" s="64" t="s">
        <v>26</v>
      </c>
      <c r="AH141" s="64">
        <f t="shared" si="27"/>
        <v>0</v>
      </c>
      <c r="AI141" s="65">
        <f t="shared" si="27"/>
        <v>0</v>
      </c>
      <c r="AJ141" s="64" t="str">
        <f t="shared" si="28"/>
        <v/>
      </c>
      <c r="AK141" s="64" t="str">
        <f t="shared" si="29"/>
        <v/>
      </c>
      <c r="AL141" s="66"/>
      <c r="AM141" s="66"/>
    </row>
    <row r="142" spans="1:39" s="67" customFormat="1" ht="24" hidden="1" customHeight="1" x14ac:dyDescent="0.15">
      <c r="A142" s="146">
        <v>131</v>
      </c>
      <c r="B142" s="121"/>
      <c r="C142" s="121"/>
      <c r="D142" s="121"/>
      <c r="E142" s="104"/>
      <c r="F142" s="343"/>
      <c r="G142" s="508"/>
      <c r="H142" s="492"/>
      <c r="I142" s="492"/>
      <c r="J142" s="493"/>
      <c r="K142" s="493"/>
      <c r="L142" s="322"/>
      <c r="M142" s="322"/>
      <c r="N142" s="435"/>
      <c r="O142" s="435"/>
      <c r="P142" s="106"/>
      <c r="Q142" s="106"/>
      <c r="R142" s="106"/>
      <c r="S142" s="541"/>
      <c r="T142" s="64" t="s">
        <v>36</v>
      </c>
      <c r="U142" s="64">
        <f>COUNTIF(D132:D151,"묘")</f>
        <v>0</v>
      </c>
      <c r="V142" s="65">
        <f>COUNTIF(I132:I151,"묘")</f>
        <v>0</v>
      </c>
      <c r="W142" s="64" t="s">
        <v>26</v>
      </c>
      <c r="X142" s="64">
        <f>SUMIF(D132:D151,"묘",F132:F151)</f>
        <v>0</v>
      </c>
      <c r="Y142" s="65">
        <f>SUMIF(I132:I151,"묘",K132:K151)</f>
        <v>0</v>
      </c>
      <c r="Z142" s="10">
        <f>COUNTIF(AJ132:AJ151,"묘국")+COUNTIF(AJ132:AJ151,"묘공")</f>
        <v>0</v>
      </c>
      <c r="AA142" s="42">
        <f>COUNTIF(AK132:AK151,"묘국")+COUNTIF(AK132:AK151,"묘공")</f>
        <v>0</v>
      </c>
      <c r="AB142" s="10" t="s">
        <v>26</v>
      </c>
      <c r="AC142" s="10">
        <f>SUMIF(AJ132:AJ151,"묘국",F132:F151)+SUMIF(AJ132:AJ151,"묘공",F132:F151)</f>
        <v>0</v>
      </c>
      <c r="AD142" s="42">
        <f>SUMIF(AK132:AK151,"묘국",K132:K151)+SUMIF(AK132:AK151,"묘공",K132:K151)</f>
        <v>0</v>
      </c>
      <c r="AE142" s="64">
        <f t="shared" si="26"/>
        <v>0</v>
      </c>
      <c r="AF142" s="65">
        <f t="shared" si="26"/>
        <v>0</v>
      </c>
      <c r="AG142" s="64" t="s">
        <v>26</v>
      </c>
      <c r="AH142" s="64">
        <f t="shared" si="27"/>
        <v>0</v>
      </c>
      <c r="AI142" s="65">
        <f t="shared" si="27"/>
        <v>0</v>
      </c>
      <c r="AJ142" s="64" t="str">
        <f t="shared" si="28"/>
        <v/>
      </c>
      <c r="AK142" s="64" t="str">
        <f t="shared" si="29"/>
        <v/>
      </c>
      <c r="AL142" s="66"/>
      <c r="AM142" s="66"/>
    </row>
    <row r="143" spans="1:39" s="67" customFormat="1" ht="24" hidden="1" customHeight="1" x14ac:dyDescent="0.15">
      <c r="A143" s="146">
        <v>132</v>
      </c>
      <c r="B143" s="121"/>
      <c r="C143" s="121"/>
      <c r="D143" s="121"/>
      <c r="E143" s="104"/>
      <c r="F143" s="343"/>
      <c r="G143" s="508"/>
      <c r="H143" s="346"/>
      <c r="I143" s="346"/>
      <c r="J143" s="493"/>
      <c r="K143" s="493"/>
      <c r="L143" s="121"/>
      <c r="M143" s="322"/>
      <c r="N143" s="435"/>
      <c r="O143" s="435"/>
      <c r="P143" s="106"/>
      <c r="Q143" s="106"/>
      <c r="R143" s="106"/>
      <c r="S143" s="541"/>
      <c r="T143" s="64" t="s">
        <v>39</v>
      </c>
      <c r="U143" s="64">
        <f>COUNTIF(D132:D151,"수")</f>
        <v>0</v>
      </c>
      <c r="V143" s="65">
        <f>COUNTIF(I132:I151,"수")</f>
        <v>0</v>
      </c>
      <c r="W143" s="64" t="s">
        <v>26</v>
      </c>
      <c r="X143" s="64">
        <f>SUMIF(D132:D151,"수",F132:F151)</f>
        <v>0</v>
      </c>
      <c r="Y143" s="65">
        <f>SUMIF(I132:I151,"수",K132:K151)</f>
        <v>0</v>
      </c>
      <c r="Z143" s="10">
        <f>COUNTIF(AJ132:AJ151,"수국")+COUNTIF(AJ132:AJ151,"수공")</f>
        <v>0</v>
      </c>
      <c r="AA143" s="42">
        <f>COUNTIF(AK132:AK151,"수국")+COUNTIF(AK132:AK151,"수공")</f>
        <v>0</v>
      </c>
      <c r="AB143" s="10" t="s">
        <v>26</v>
      </c>
      <c r="AC143" s="10">
        <f>SUMIF(AJ132:AJ151,"수국",F132:F151)+SUMIF(AJ132:AJ151,"수공",F132:F151)</f>
        <v>0</v>
      </c>
      <c r="AD143" s="42">
        <f>SUMIF(AK132:AK151,"수국",K132:K151)+SUMIF(AK132:AK151,"수공",K132:K151)</f>
        <v>0</v>
      </c>
      <c r="AE143" s="64">
        <f t="shared" si="26"/>
        <v>0</v>
      </c>
      <c r="AF143" s="65">
        <f t="shared" si="26"/>
        <v>0</v>
      </c>
      <c r="AG143" s="64" t="s">
        <v>26</v>
      </c>
      <c r="AH143" s="64">
        <f t="shared" si="27"/>
        <v>0</v>
      </c>
      <c r="AI143" s="65">
        <f t="shared" si="27"/>
        <v>0</v>
      </c>
      <c r="AJ143" s="64" t="str">
        <f t="shared" si="28"/>
        <v/>
      </c>
      <c r="AK143" s="64" t="str">
        <f t="shared" si="29"/>
        <v/>
      </c>
      <c r="AL143" s="66"/>
      <c r="AM143" s="66"/>
    </row>
    <row r="144" spans="1:39" s="67" customFormat="1" ht="24" hidden="1" customHeight="1" x14ac:dyDescent="0.15">
      <c r="A144" s="146">
        <v>133</v>
      </c>
      <c r="B144" s="121"/>
      <c r="C144" s="121"/>
      <c r="D144" s="121"/>
      <c r="E144" s="104"/>
      <c r="F144" s="343"/>
      <c r="G144" s="508"/>
      <c r="H144" s="498"/>
      <c r="I144" s="347"/>
      <c r="J144" s="344"/>
      <c r="K144" s="417"/>
      <c r="L144" s="121"/>
      <c r="M144" s="322"/>
      <c r="N144" s="339"/>
      <c r="O144" s="435"/>
      <c r="P144" s="534"/>
      <c r="Q144" s="535"/>
      <c r="R144" s="534"/>
      <c r="S144" s="541"/>
      <c r="T144" s="64" t="s">
        <v>35</v>
      </c>
      <c r="U144" s="64">
        <f>COUNTIF(D132:D151,"잡")</f>
        <v>0</v>
      </c>
      <c r="V144" s="65">
        <f>COUNTIF(I132:I151,"잡")</f>
        <v>0</v>
      </c>
      <c r="W144" s="64" t="s">
        <v>26</v>
      </c>
      <c r="X144" s="64">
        <f>SUMIF(D132:D151,"잡",F132:F151)</f>
        <v>0</v>
      </c>
      <c r="Y144" s="65">
        <f>SUMIF(I132:I151,"잡",K132:K151)</f>
        <v>0</v>
      </c>
      <c r="Z144" s="10">
        <f>COUNTIF(AJ132:AJ151,"잡국")+COUNTIF(AJ132:AJ151,"잡공")</f>
        <v>0</v>
      </c>
      <c r="AA144" s="42">
        <f>COUNTIF(AK132:AK151,"잡국")+COUNTIF(AK132:AK151,"잡공")</f>
        <v>0</v>
      </c>
      <c r="AB144" s="10" t="s">
        <v>26</v>
      </c>
      <c r="AC144" s="10">
        <f>SUMIF(AJ132:AJ151,"잡국",F132:F151)+SUMIF(AJ132:AJ151,"잡공",F132:F151)</f>
        <v>0</v>
      </c>
      <c r="AD144" s="42">
        <f>SUMIF(AK132:AK151,"잡국",K132:K151)+SUMIF(AK132:AK151,"잡공",K132:K151)</f>
        <v>0</v>
      </c>
      <c r="AE144" s="64">
        <f t="shared" si="26"/>
        <v>0</v>
      </c>
      <c r="AF144" s="65">
        <f t="shared" si="26"/>
        <v>0</v>
      </c>
      <c r="AG144" s="64" t="s">
        <v>26</v>
      </c>
      <c r="AH144" s="64">
        <f t="shared" si="27"/>
        <v>0</v>
      </c>
      <c r="AI144" s="65">
        <f t="shared" si="27"/>
        <v>0</v>
      </c>
      <c r="AJ144" s="64" t="str">
        <f t="shared" si="28"/>
        <v/>
      </c>
      <c r="AK144" s="64" t="str">
        <f t="shared" si="29"/>
        <v/>
      </c>
      <c r="AL144" s="66"/>
      <c r="AM144" s="66"/>
    </row>
    <row r="145" spans="1:39" s="67" customFormat="1" ht="24" hidden="1" customHeight="1" x14ac:dyDescent="0.15">
      <c r="A145" s="146">
        <v>134</v>
      </c>
      <c r="B145" s="121"/>
      <c r="C145" s="121"/>
      <c r="D145" s="133"/>
      <c r="E145" s="104"/>
      <c r="F145" s="343"/>
      <c r="G145" s="508"/>
      <c r="H145" s="498"/>
      <c r="I145" s="347"/>
      <c r="J145" s="344"/>
      <c r="K145" s="493"/>
      <c r="L145" s="121"/>
      <c r="M145" s="322"/>
      <c r="N145" s="435"/>
      <c r="O145" s="435"/>
      <c r="P145" s="106"/>
      <c r="Q145" s="106"/>
      <c r="R145" s="106"/>
      <c r="S145" s="541"/>
      <c r="T145" s="64" t="s">
        <v>51</v>
      </c>
      <c r="U145" s="64">
        <f>COUNTIF(D132:D151,"체")</f>
        <v>0</v>
      </c>
      <c r="V145" s="65">
        <f>COUNTIF(I132:I151,"체")</f>
        <v>0</v>
      </c>
      <c r="W145" s="64" t="s">
        <v>26</v>
      </c>
      <c r="X145" s="64">
        <f>SUMIF(D132:D151,"체",F132:F151)</f>
        <v>0</v>
      </c>
      <c r="Y145" s="65">
        <f>SUMIF(I132:I151,"체",K132:K151)</f>
        <v>0</v>
      </c>
      <c r="Z145" s="10">
        <f>COUNTIF(AJ132:AJ151,"체국")+COUNTIF(AJ132:AJ151,"체공")</f>
        <v>0</v>
      </c>
      <c r="AA145" s="42">
        <f>COUNTIF(AK132:AK151,"체국")+COUNTIF(AK132:AK151,"체공")</f>
        <v>0</v>
      </c>
      <c r="AB145" s="10" t="s">
        <v>26</v>
      </c>
      <c r="AC145" s="10">
        <f>SUMIF(AJ132:AJ151,"체국",F132:F151)+SUMIF(AJ132:AJ151,"체공",F132:F151)</f>
        <v>0</v>
      </c>
      <c r="AD145" s="42">
        <f>SUMIF(AK132:AK151,"체국",K132:K151)+SUMIF(AK132:AK151,"체공",K132:K151)</f>
        <v>0</v>
      </c>
      <c r="AE145" s="64">
        <f t="shared" si="26"/>
        <v>0</v>
      </c>
      <c r="AF145" s="65">
        <f t="shared" si="26"/>
        <v>0</v>
      </c>
      <c r="AG145" s="64" t="s">
        <v>26</v>
      </c>
      <c r="AH145" s="64">
        <f t="shared" si="27"/>
        <v>0</v>
      </c>
      <c r="AI145" s="65">
        <f t="shared" si="27"/>
        <v>0</v>
      </c>
      <c r="AJ145" s="64" t="str">
        <f t="shared" si="28"/>
        <v/>
      </c>
      <c r="AK145" s="64" t="str">
        <f t="shared" si="29"/>
        <v/>
      </c>
      <c r="AL145" s="66"/>
      <c r="AM145" s="66"/>
    </row>
    <row r="146" spans="1:39" s="67" customFormat="1" ht="24" hidden="1" customHeight="1" x14ac:dyDescent="0.15">
      <c r="A146" s="146">
        <v>135</v>
      </c>
      <c r="B146" s="121"/>
      <c r="C146" s="121"/>
      <c r="D146" s="133"/>
      <c r="E146" s="104"/>
      <c r="F146" s="343"/>
      <c r="G146" s="508"/>
      <c r="H146" s="498"/>
      <c r="I146" s="347"/>
      <c r="J146" s="344"/>
      <c r="K146" s="493"/>
      <c r="L146" s="121"/>
      <c r="M146" s="322"/>
      <c r="N146" s="339"/>
      <c r="O146" s="435"/>
      <c r="P146" s="106"/>
      <c r="Q146" s="106"/>
      <c r="R146" s="106"/>
      <c r="S146" s="541"/>
      <c r="T146" s="64" t="s">
        <v>50</v>
      </c>
      <c r="U146" s="64">
        <f>COUNTIF(D132:D151,"공")</f>
        <v>0</v>
      </c>
      <c r="V146" s="65">
        <f>COUNTIF(I132:I151,"공")</f>
        <v>0</v>
      </c>
      <c r="W146" s="64" t="s">
        <v>26</v>
      </c>
      <c r="X146" s="64">
        <f>SUMIF(D132:D151,"공",F132:F151)</f>
        <v>0</v>
      </c>
      <c r="Y146" s="65">
        <f>SUMIF(I132:I151,"공",K132:K151)</f>
        <v>0</v>
      </c>
      <c r="Z146" s="10">
        <f>COUNTIF(AJ132:AJ151,"공국")+COUNTIF(AJ132:AJ151,"공공")</f>
        <v>0</v>
      </c>
      <c r="AA146" s="42">
        <f>COUNTIF(AK132:AK151,"공국")+COUNTIF(AK132:AK151,"공공")</f>
        <v>0</v>
      </c>
      <c r="AB146" s="10" t="s">
        <v>26</v>
      </c>
      <c r="AC146" s="10">
        <f>SUMIF(AJ132:AJ151,"공국",F132:F151)+SUMIF(AJ132:AJ151,"공공",F132:F151)</f>
        <v>0</v>
      </c>
      <c r="AD146" s="42">
        <f>SUMIF(AK132:AK151,"공국",K132:K151)+SUMIF(AK132:AK151,"공공",K132:K151)</f>
        <v>0</v>
      </c>
      <c r="AE146" s="64">
        <f t="shared" si="26"/>
        <v>0</v>
      </c>
      <c r="AF146" s="65">
        <f t="shared" si="26"/>
        <v>0</v>
      </c>
      <c r="AG146" s="64" t="s">
        <v>26</v>
      </c>
      <c r="AH146" s="64">
        <f t="shared" si="27"/>
        <v>0</v>
      </c>
      <c r="AI146" s="65">
        <f t="shared" si="27"/>
        <v>0</v>
      </c>
      <c r="AJ146" s="64" t="str">
        <f t="shared" si="28"/>
        <v/>
      </c>
      <c r="AK146" s="64" t="str">
        <f t="shared" si="29"/>
        <v/>
      </c>
      <c r="AL146" s="66"/>
      <c r="AM146" s="66"/>
    </row>
    <row r="147" spans="1:39" s="67" customFormat="1" ht="24" hidden="1" customHeight="1" x14ac:dyDescent="0.15">
      <c r="A147" s="146">
        <v>136</v>
      </c>
      <c r="B147" s="121"/>
      <c r="C147" s="222"/>
      <c r="D147" s="133"/>
      <c r="E147" s="560"/>
      <c r="F147" s="135"/>
      <c r="G147" s="509"/>
      <c r="H147" s="492"/>
      <c r="I147" s="492"/>
      <c r="J147" s="506"/>
      <c r="K147" s="493"/>
      <c r="L147" s="204"/>
      <c r="M147" s="204"/>
      <c r="N147" s="433"/>
      <c r="O147" s="433"/>
      <c r="P147" s="106"/>
      <c r="Q147" s="106"/>
      <c r="R147" s="106"/>
      <c r="S147" s="541"/>
      <c r="T147" s="70" t="s">
        <v>40</v>
      </c>
      <c r="U147" s="64">
        <f>COUNTIF(D132:D151,"장")</f>
        <v>0</v>
      </c>
      <c r="V147" s="65">
        <f>COUNTIF(I132:I151,"장")</f>
        <v>0</v>
      </c>
      <c r="W147" s="64" t="s">
        <v>26</v>
      </c>
      <c r="X147" s="64">
        <f>SUMIF(D132:D151,"장",F132:F151)</f>
        <v>0</v>
      </c>
      <c r="Y147" s="65">
        <f>SUMIF(I132:I151,"장",K132:K151)</f>
        <v>0</v>
      </c>
      <c r="Z147" s="10">
        <f>COUNTIF(AJ132:AJ151,"장국")+COUNTIF(AJ132:AJ151,"장공")</f>
        <v>0</v>
      </c>
      <c r="AA147" s="42">
        <f>COUNTIF(AK132:AK151,"장국")+COUNTIF(AK132:AK151,"장공")</f>
        <v>0</v>
      </c>
      <c r="AB147" s="10" t="s">
        <v>26</v>
      </c>
      <c r="AC147" s="10">
        <f>SUMIF(AJ132:AJ151,"장국",F132:F151)+SUMIF(AJ132:AJ151,"장공",F132:F151)</f>
        <v>0</v>
      </c>
      <c r="AD147" s="42">
        <f>SUMIF(AK132:AK151,"장국",K132:K151)+SUMIF(AK132:AK151,"장공",K132:K151)</f>
        <v>0</v>
      </c>
      <c r="AE147" s="64">
        <f t="shared" si="26"/>
        <v>0</v>
      </c>
      <c r="AF147" s="65">
        <f t="shared" si="26"/>
        <v>0</v>
      </c>
      <c r="AG147" s="64" t="s">
        <v>26</v>
      </c>
      <c r="AH147" s="64">
        <f t="shared" si="27"/>
        <v>0</v>
      </c>
      <c r="AI147" s="65">
        <f t="shared" si="27"/>
        <v>0</v>
      </c>
      <c r="AJ147" s="64" t="str">
        <f t="shared" si="28"/>
        <v/>
      </c>
      <c r="AK147" s="64" t="str">
        <f t="shared" si="29"/>
        <v/>
      </c>
      <c r="AL147" s="66"/>
      <c r="AM147" s="66"/>
    </row>
    <row r="148" spans="1:39" s="67" customFormat="1" ht="24" hidden="1" customHeight="1" x14ac:dyDescent="0.15">
      <c r="A148" s="146">
        <v>137</v>
      </c>
      <c r="B148" s="121"/>
      <c r="C148" s="121"/>
      <c r="D148" s="133"/>
      <c r="E148" s="104"/>
      <c r="F148" s="343"/>
      <c r="G148" s="508"/>
      <c r="H148" s="492"/>
      <c r="I148" s="492"/>
      <c r="J148" s="417"/>
      <c r="K148" s="417"/>
      <c r="L148" s="322"/>
      <c r="M148" s="322"/>
      <c r="N148" s="435"/>
      <c r="O148" s="435"/>
      <c r="P148" s="106"/>
      <c r="Q148" s="106"/>
      <c r="R148" s="106"/>
      <c r="S148" s="541"/>
      <c r="T148" s="70" t="s">
        <v>5</v>
      </c>
      <c r="U148" s="64">
        <f>COUNTIF(D132:D151,"목")</f>
        <v>0</v>
      </c>
      <c r="V148" s="65">
        <f>COUNTIF(I132:I151,"목")</f>
        <v>0</v>
      </c>
      <c r="W148" s="64" t="s">
        <v>26</v>
      </c>
      <c r="X148" s="64">
        <f>SUMIF(D132:D151,"목",F132:F151)</f>
        <v>0</v>
      </c>
      <c r="Y148" s="65">
        <f>SUMIF(I132:I151,"목",K132:K151)</f>
        <v>0</v>
      </c>
      <c r="Z148" s="10">
        <f>COUNTIF(AJ132:AJ151,"목국")+COUNTIF(AJ132:AJ151,"목공")</f>
        <v>0</v>
      </c>
      <c r="AA148" s="42">
        <f>COUNTIF(AK132:AK151,"목국")+COUNTIF(AK132:AK151,"목공")</f>
        <v>0</v>
      </c>
      <c r="AB148" s="10" t="s">
        <v>26</v>
      </c>
      <c r="AC148" s="10">
        <f>SUMIF(AJ132:AJ151,"목국",F132:F151)+SUMIF(AJ132:AJ151,"목공",F132:F151)</f>
        <v>0</v>
      </c>
      <c r="AD148" s="42">
        <f>SUMIF(AK132:AK151,"목국",K132:K151)+SUMIF(AK132:AK151,"목공",K132:K151)</f>
        <v>0</v>
      </c>
      <c r="AE148" s="64">
        <f t="shared" si="26"/>
        <v>0</v>
      </c>
      <c r="AF148" s="65">
        <f t="shared" si="26"/>
        <v>0</v>
      </c>
      <c r="AG148" s="64" t="s">
        <v>26</v>
      </c>
      <c r="AH148" s="64">
        <f t="shared" si="27"/>
        <v>0</v>
      </c>
      <c r="AI148" s="65">
        <f t="shared" si="27"/>
        <v>0</v>
      </c>
      <c r="AJ148" s="64" t="str">
        <f t="shared" si="28"/>
        <v/>
      </c>
      <c r="AK148" s="64" t="str">
        <f t="shared" si="29"/>
        <v/>
      </c>
      <c r="AL148" s="66"/>
      <c r="AM148" s="66"/>
    </row>
    <row r="149" spans="1:39" s="67" customFormat="1" ht="24" hidden="1" customHeight="1" x14ac:dyDescent="0.15">
      <c r="A149" s="146">
        <v>138</v>
      </c>
      <c r="B149" s="121"/>
      <c r="C149" s="340"/>
      <c r="D149" s="121"/>
      <c r="E149" s="104"/>
      <c r="F149" s="343"/>
      <c r="G149" s="508"/>
      <c r="H149" s="498"/>
      <c r="I149" s="347"/>
      <c r="J149" s="344"/>
      <c r="K149" s="417"/>
      <c r="L149" s="322"/>
      <c r="M149" s="322"/>
      <c r="N149" s="435"/>
      <c r="O149" s="435"/>
      <c r="P149" s="570"/>
      <c r="Q149" s="535"/>
      <c r="R149" s="570"/>
      <c r="S149" s="541"/>
      <c r="T149" s="70"/>
      <c r="U149" s="70"/>
      <c r="V149" s="71"/>
      <c r="W149" s="70"/>
      <c r="X149" s="70"/>
      <c r="Y149" s="71"/>
      <c r="Z149" s="10"/>
      <c r="AA149" s="42"/>
      <c r="AB149" s="11"/>
      <c r="AC149" s="10"/>
      <c r="AD149" s="42"/>
      <c r="AE149" s="70"/>
      <c r="AF149" s="71"/>
      <c r="AG149" s="70"/>
      <c r="AH149" s="70"/>
      <c r="AI149" s="71"/>
      <c r="AJ149" s="64" t="str">
        <f t="shared" si="28"/>
        <v/>
      </c>
      <c r="AK149" s="64" t="str">
        <f t="shared" si="29"/>
        <v/>
      </c>
      <c r="AL149" s="66"/>
      <c r="AM149" s="66"/>
    </row>
    <row r="150" spans="1:39" s="67" customFormat="1" ht="24" hidden="1" customHeight="1" x14ac:dyDescent="0.15">
      <c r="A150" s="146">
        <v>139</v>
      </c>
      <c r="B150" s="121"/>
      <c r="C150" s="121"/>
      <c r="D150" s="121"/>
      <c r="E150" s="104"/>
      <c r="F150" s="343"/>
      <c r="G150" s="508"/>
      <c r="H150" s="347"/>
      <c r="I150" s="492"/>
      <c r="J150" s="506"/>
      <c r="K150" s="493"/>
      <c r="L150" s="121"/>
      <c r="M150" s="322"/>
      <c r="N150" s="339"/>
      <c r="O150" s="435"/>
      <c r="P150" s="106"/>
      <c r="Q150" s="106"/>
      <c r="R150" s="106"/>
      <c r="S150" s="541"/>
      <c r="T150" s="70"/>
      <c r="U150" s="70"/>
      <c r="V150" s="71"/>
      <c r="W150" s="70"/>
      <c r="X150" s="70"/>
      <c r="Y150" s="71"/>
      <c r="Z150" s="10"/>
      <c r="AA150" s="42"/>
      <c r="AB150" s="11"/>
      <c r="AC150" s="10"/>
      <c r="AD150" s="42"/>
      <c r="AE150" s="70"/>
      <c r="AF150" s="71"/>
      <c r="AG150" s="70"/>
      <c r="AH150" s="70"/>
      <c r="AI150" s="71"/>
      <c r="AJ150" s="64" t="str">
        <f t="shared" si="28"/>
        <v/>
      </c>
      <c r="AK150" s="64" t="str">
        <f t="shared" si="29"/>
        <v/>
      </c>
      <c r="AL150" s="66"/>
      <c r="AM150" s="66"/>
    </row>
    <row r="151" spans="1:39" s="67" customFormat="1" ht="24" hidden="1" customHeight="1" x14ac:dyDescent="0.15">
      <c r="A151" s="146">
        <v>140</v>
      </c>
      <c r="B151" s="121"/>
      <c r="C151" s="340"/>
      <c r="D151" s="121"/>
      <c r="E151" s="104"/>
      <c r="F151" s="104"/>
      <c r="G151" s="508"/>
      <c r="H151" s="498"/>
      <c r="I151" s="347"/>
      <c r="J151" s="344"/>
      <c r="K151" s="417"/>
      <c r="L151" s="121"/>
      <c r="M151" s="322"/>
      <c r="N151" s="339"/>
      <c r="O151" s="435"/>
      <c r="P151" s="106"/>
      <c r="Q151" s="106"/>
      <c r="R151" s="106"/>
      <c r="S151" s="541"/>
      <c r="T151" s="72" t="s">
        <v>37</v>
      </c>
      <c r="U151" s="72">
        <f>COUNTIF(D132:D151,"철")</f>
        <v>0</v>
      </c>
      <c r="V151" s="73">
        <f>COUNTIF(I132:I151,"철")</f>
        <v>0</v>
      </c>
      <c r="W151" s="72" t="s">
        <v>26</v>
      </c>
      <c r="X151" s="72">
        <f>SUMIF(D132:D151,"철",F132:F151)</f>
        <v>0</v>
      </c>
      <c r="Y151" s="73">
        <f>SUMIF(I132:I151,"철",K132:K151)</f>
        <v>0</v>
      </c>
      <c r="Z151" s="10">
        <f>COUNTIF(AJ132:AJ151,"철국")+COUNTIF(AJ132:AJ151,"철공")</f>
        <v>0</v>
      </c>
      <c r="AA151" s="42">
        <f>COUNTIF(AK132:AK151,"철국")+COUNTIF(AK132:AK151,"철공")</f>
        <v>0</v>
      </c>
      <c r="AB151" s="12" t="s">
        <v>26</v>
      </c>
      <c r="AC151" s="10">
        <f>SUMIF(AJ132:AJ151,"철국",F132:F151)+SUMIF(AJ132:AJ151,"철공",F132:F151)</f>
        <v>0</v>
      </c>
      <c r="AD151" s="42">
        <f>SUMIF(AK132:AK151,"철국",K132:K151)+SUMIF(AK132:AK151,"철공",K132:K151)</f>
        <v>0</v>
      </c>
      <c r="AE151" s="72"/>
      <c r="AF151" s="73"/>
      <c r="AG151" s="72"/>
      <c r="AH151" s="72"/>
      <c r="AI151" s="73"/>
      <c r="AJ151" s="64" t="str">
        <f t="shared" si="28"/>
        <v/>
      </c>
      <c r="AK151" s="64" t="str">
        <f t="shared" si="29"/>
        <v/>
      </c>
      <c r="AL151" s="66"/>
      <c r="AM151" s="66"/>
    </row>
    <row r="152" spans="1:39" s="57" customFormat="1" ht="24" hidden="1" customHeight="1" thickBot="1" x14ac:dyDescent="0.2">
      <c r="A152" s="147" t="s">
        <v>48</v>
      </c>
      <c r="B152" s="148"/>
      <c r="C152" s="148"/>
      <c r="D152" s="148"/>
      <c r="E152" s="148"/>
      <c r="F152" s="149">
        <f>SUM(F132:F151)</f>
        <v>0</v>
      </c>
      <c r="G152" s="496"/>
      <c r="H152" s="496"/>
      <c r="I152" s="497"/>
      <c r="J152" s="516"/>
      <c r="K152" s="529">
        <f>SUM(K132:K151)</f>
        <v>0</v>
      </c>
      <c r="L152" s="150"/>
      <c r="M152" s="150"/>
      <c r="N152" s="432"/>
      <c r="O152" s="432"/>
      <c r="P152" s="150"/>
      <c r="Q152" s="150"/>
      <c r="R152" s="150"/>
      <c r="S152" s="151"/>
      <c r="T152" s="62" t="s">
        <v>24</v>
      </c>
      <c r="U152" s="63">
        <f t="shared" ref="U152:AA152" si="30">SUM(U132:U151)</f>
        <v>0</v>
      </c>
      <c r="V152" s="63">
        <f t="shared" si="30"/>
        <v>0</v>
      </c>
      <c r="W152" s="63">
        <f t="shared" si="30"/>
        <v>0</v>
      </c>
      <c r="X152" s="63">
        <f t="shared" si="30"/>
        <v>0</v>
      </c>
      <c r="Y152" s="63">
        <f t="shared" si="30"/>
        <v>0</v>
      </c>
      <c r="Z152" s="37">
        <f t="shared" si="30"/>
        <v>0</v>
      </c>
      <c r="AA152" s="43">
        <f t="shared" si="30"/>
        <v>0</v>
      </c>
      <c r="AB152" s="37" t="s">
        <v>26</v>
      </c>
      <c r="AC152" s="37">
        <f>SUM(AC132:AC151)</f>
        <v>0</v>
      </c>
      <c r="AD152" s="43">
        <f>SUM(AD132:AD151)</f>
        <v>0</v>
      </c>
      <c r="AE152" s="63">
        <f>SUM(AE132:AE151)</f>
        <v>0</v>
      </c>
      <c r="AF152" s="63">
        <f>SUM(AF132:AF151)</f>
        <v>0</v>
      </c>
      <c r="AG152" s="63" t="s">
        <v>26</v>
      </c>
      <c r="AH152" s="63">
        <f>SUM(AH132:AH151)</f>
        <v>0</v>
      </c>
      <c r="AI152" s="63">
        <f>SUM(AI132:AI151)</f>
        <v>0</v>
      </c>
      <c r="AJ152" s="63"/>
      <c r="AK152" s="64" t="str">
        <f t="shared" si="29"/>
        <v/>
      </c>
    </row>
    <row r="153" spans="1:39" s="67" customFormat="1" ht="24" hidden="1" customHeight="1" x14ac:dyDescent="0.15">
      <c r="A153" s="139">
        <v>141</v>
      </c>
      <c r="B153" s="536"/>
      <c r="C153" s="340"/>
      <c r="D153" s="121"/>
      <c r="E153" s="104"/>
      <c r="F153" s="104"/>
      <c r="G153" s="508"/>
      <c r="H153" s="498"/>
      <c r="I153" s="347"/>
      <c r="J153" s="344"/>
      <c r="K153" s="417"/>
      <c r="L153" s="121"/>
      <c r="M153" s="322"/>
      <c r="N153" s="339"/>
      <c r="O153" s="435"/>
      <c r="P153" s="539"/>
      <c r="Q153" s="539"/>
      <c r="R153" s="539"/>
      <c r="S153" s="540"/>
      <c r="T153" s="64" t="s">
        <v>27</v>
      </c>
      <c r="U153" s="64">
        <f>COUNTIF(D153:D172,"전")</f>
        <v>0</v>
      </c>
      <c r="V153" s="65">
        <f>COUNTIF(I153:I172,"전")</f>
        <v>0</v>
      </c>
      <c r="W153" s="64" t="s">
        <v>26</v>
      </c>
      <c r="X153" s="64">
        <f>SUMIF(D153:D172,"전",F153:F172)</f>
        <v>0</v>
      </c>
      <c r="Y153" s="65">
        <f>SUMIF(I153:I172,"전",K153:K172)</f>
        <v>0</v>
      </c>
      <c r="Z153" s="10">
        <f>COUNTIF(AJ153:AJ172,"전국")+COUNTIF(AJ153:AJ172,"전공")</f>
        <v>0</v>
      </c>
      <c r="AA153" s="42">
        <f>COUNTIF(AK153:AK172,"전국")+COUNTIF(AK153:AK172,"전공")</f>
        <v>0</v>
      </c>
      <c r="AB153" s="10" t="s">
        <v>26</v>
      </c>
      <c r="AC153" s="10">
        <f>SUMIF(AJ153:AJ172,"전국",F153:F172)+SUMIF(AJ153:AJ172,"전공",F153:F172)</f>
        <v>0</v>
      </c>
      <c r="AD153" s="42">
        <f>SUMIF(AK153:AK172,"전국",K153:K172)+SUMIF(AK153:AK172,"전공",K153:K172)</f>
        <v>0</v>
      </c>
      <c r="AE153" s="64">
        <f t="shared" ref="AE153:AF169" si="31">U153-Z153</f>
        <v>0</v>
      </c>
      <c r="AF153" s="65">
        <f t="shared" si="31"/>
        <v>0</v>
      </c>
      <c r="AG153" s="64" t="s">
        <v>26</v>
      </c>
      <c r="AH153" s="64">
        <f t="shared" ref="AH153:AI169" si="32">X153-AC153</f>
        <v>0</v>
      </c>
      <c r="AI153" s="65">
        <f t="shared" si="32"/>
        <v>0</v>
      </c>
      <c r="AJ153" s="64" t="str">
        <f t="shared" ref="AJ153:AJ172" si="33">CONCATENATE(D153,L153)</f>
        <v/>
      </c>
      <c r="AK153" s="64" t="str">
        <f t="shared" si="29"/>
        <v/>
      </c>
    </row>
    <row r="154" spans="1:39" s="67" customFormat="1" ht="24" hidden="1" customHeight="1" x14ac:dyDescent="0.15">
      <c r="A154" s="146">
        <v>142</v>
      </c>
      <c r="B154" s="121"/>
      <c r="C154" s="340"/>
      <c r="D154" s="121"/>
      <c r="E154" s="104"/>
      <c r="F154" s="104"/>
      <c r="G154" s="508"/>
      <c r="H154" s="492"/>
      <c r="I154" s="492"/>
      <c r="J154" s="344"/>
      <c r="K154" s="507"/>
      <c r="L154" s="121"/>
      <c r="M154" s="322"/>
      <c r="N154" s="339"/>
      <c r="O154" s="435"/>
      <c r="P154" s="106"/>
      <c r="Q154" s="106"/>
      <c r="R154" s="106"/>
      <c r="S154" s="541"/>
      <c r="T154" s="64" t="s">
        <v>28</v>
      </c>
      <c r="U154" s="64">
        <f>COUNTIF(D153:D172,"답")</f>
        <v>0</v>
      </c>
      <c r="V154" s="65">
        <f>COUNTIF(I153:I172,"답")</f>
        <v>0</v>
      </c>
      <c r="W154" s="64" t="s">
        <v>26</v>
      </c>
      <c r="X154" s="64">
        <f>SUMIF(D153:D172,"답",F153:F172)</f>
        <v>0</v>
      </c>
      <c r="Y154" s="65">
        <f>SUMIF(I153:I172,"답",K153:K172)</f>
        <v>0</v>
      </c>
      <c r="Z154" s="10">
        <f>COUNTIF(AJ153:AJ172,"답국")+COUNTIF(AJ153:AJ172,"답공")</f>
        <v>0</v>
      </c>
      <c r="AA154" s="42">
        <f>COUNTIF(AK153:AK172,"답국")+COUNTIF(AK153:AK172,"답공")</f>
        <v>0</v>
      </c>
      <c r="AB154" s="10" t="s">
        <v>26</v>
      </c>
      <c r="AC154" s="10">
        <f>SUMIF(AJ153:AJ172,"답국",F153:F172)+SUMIF(AJ153:AJ172,"답공",F153:F172)</f>
        <v>0</v>
      </c>
      <c r="AD154" s="42">
        <f>SUMIF(AK153:AK172,"답국",K153:K172)+SUMIF(AK153:AK172,"답공",K153:K172)</f>
        <v>0</v>
      </c>
      <c r="AE154" s="64">
        <f t="shared" si="31"/>
        <v>0</v>
      </c>
      <c r="AF154" s="65">
        <f t="shared" si="31"/>
        <v>0</v>
      </c>
      <c r="AG154" s="64" t="s">
        <v>26</v>
      </c>
      <c r="AH154" s="64">
        <f t="shared" si="32"/>
        <v>0</v>
      </c>
      <c r="AI154" s="65">
        <f t="shared" si="32"/>
        <v>0</v>
      </c>
      <c r="AJ154" s="64" t="str">
        <f t="shared" si="33"/>
        <v/>
      </c>
      <c r="AK154" s="64" t="str">
        <f t="shared" si="29"/>
        <v/>
      </c>
    </row>
    <row r="155" spans="1:39" s="67" customFormat="1" ht="24" hidden="1" customHeight="1" x14ac:dyDescent="0.15">
      <c r="A155" s="146">
        <v>143</v>
      </c>
      <c r="B155" s="121"/>
      <c r="C155" s="121"/>
      <c r="D155" s="121"/>
      <c r="E155" s="104"/>
      <c r="F155" s="104"/>
      <c r="G155" s="508"/>
      <c r="H155" s="494"/>
      <c r="I155" s="492"/>
      <c r="J155" s="344"/>
      <c r="K155" s="507"/>
      <c r="L155" s="121"/>
      <c r="M155" s="322"/>
      <c r="N155" s="339"/>
      <c r="O155" s="435"/>
      <c r="P155" s="106"/>
      <c r="Q155" s="106"/>
      <c r="R155" s="106"/>
      <c r="S155" s="541"/>
      <c r="T155" s="64" t="s">
        <v>44</v>
      </c>
      <c r="U155" s="64">
        <f>COUNTIF(D153:D172,"임")</f>
        <v>0</v>
      </c>
      <c r="V155" s="65">
        <f>COUNTIF(I153:I172,"임")</f>
        <v>0</v>
      </c>
      <c r="W155" s="64" t="s">
        <v>26</v>
      </c>
      <c r="X155" s="64">
        <f>SUMIF(D153:D172,"임",F153:F172)</f>
        <v>0</v>
      </c>
      <c r="Y155" s="65">
        <f>SUMIF(I153:I172,"임",K153:K172)</f>
        <v>0</v>
      </c>
      <c r="Z155" s="10">
        <f>COUNTIF(AJ153:AJ172,"임국")+COUNTIF(AJ153:AJ172,"임공")</f>
        <v>0</v>
      </c>
      <c r="AA155" s="42">
        <f>COUNTIF(AK153:AK172,"임국")+COUNTIF(AK153:AK172,"임공")</f>
        <v>0</v>
      </c>
      <c r="AB155" s="10" t="s">
        <v>26</v>
      </c>
      <c r="AC155" s="10">
        <f>SUMIF(AJ153:AJ172,"임국",F153:F172)+SUMIF(AJ153:AJ172,"임공",F153:F172)</f>
        <v>0</v>
      </c>
      <c r="AD155" s="42">
        <f>SUMIF(AK153:AK172,"임국",K153:K172)+SUMIF(AK153:AK172,"임공",K153:K172)</f>
        <v>0</v>
      </c>
      <c r="AE155" s="64">
        <f t="shared" si="31"/>
        <v>0</v>
      </c>
      <c r="AF155" s="65">
        <f t="shared" si="31"/>
        <v>0</v>
      </c>
      <c r="AG155" s="64" t="s">
        <v>26</v>
      </c>
      <c r="AH155" s="64">
        <f t="shared" si="32"/>
        <v>0</v>
      </c>
      <c r="AI155" s="65">
        <f t="shared" si="32"/>
        <v>0</v>
      </c>
      <c r="AJ155" s="64" t="str">
        <f t="shared" si="33"/>
        <v/>
      </c>
      <c r="AK155" s="64" t="str">
        <f t="shared" si="29"/>
        <v/>
      </c>
      <c r="AL155" s="66"/>
      <c r="AM155" s="66"/>
    </row>
    <row r="156" spans="1:39" s="67" customFormat="1" ht="24" hidden="1" customHeight="1" x14ac:dyDescent="0.15">
      <c r="A156" s="146">
        <v>144</v>
      </c>
      <c r="B156" s="121"/>
      <c r="C156" s="121"/>
      <c r="D156" s="133"/>
      <c r="E156" s="104"/>
      <c r="F156" s="343"/>
      <c r="G156" s="508"/>
      <c r="H156" s="492"/>
      <c r="I156" s="492"/>
      <c r="J156" s="344"/>
      <c r="K156" s="507"/>
      <c r="L156" s="121"/>
      <c r="M156" s="322"/>
      <c r="N156" s="339"/>
      <c r="O156" s="435"/>
      <c r="P156" s="106"/>
      <c r="Q156" s="106"/>
      <c r="R156" s="106"/>
      <c r="S156" s="541"/>
      <c r="T156" s="64" t="s">
        <v>45</v>
      </c>
      <c r="U156" s="64">
        <f>COUNTIF(D153:D172,"대")</f>
        <v>0</v>
      </c>
      <c r="V156" s="65">
        <f>COUNTIF(I153:I172,"대")</f>
        <v>0</v>
      </c>
      <c r="W156" s="64" t="s">
        <v>26</v>
      </c>
      <c r="X156" s="64">
        <f>SUMIF(D153:D172,"대",F153:F172)</f>
        <v>0</v>
      </c>
      <c r="Y156" s="65">
        <f>SUMIF(I153:I172,"대",K153:K172)</f>
        <v>0</v>
      </c>
      <c r="Z156" s="10">
        <f>COUNTIF(AJ153:AJ172,"대국")+COUNTIF(AJ153:AJ172,"대공")</f>
        <v>0</v>
      </c>
      <c r="AA156" s="42">
        <f>COUNTIF(AK153:AK172,"대국")+COUNTIF(AK153:AK172,"대공")</f>
        <v>0</v>
      </c>
      <c r="AB156" s="10" t="s">
        <v>26</v>
      </c>
      <c r="AC156" s="10">
        <f>SUMIF(AJ153:AJ172,"대국",F153:F172)+SUMIF(AJ153:AJ172,"대공",F153:F172)</f>
        <v>0</v>
      </c>
      <c r="AD156" s="42">
        <f>SUMIF(AK153:AK172,"대국",K153:K172)+SUMIF(AK153:AK172,"대공",K153:K172)</f>
        <v>0</v>
      </c>
      <c r="AE156" s="64">
        <f t="shared" si="31"/>
        <v>0</v>
      </c>
      <c r="AF156" s="65">
        <f t="shared" si="31"/>
        <v>0</v>
      </c>
      <c r="AG156" s="64" t="s">
        <v>26</v>
      </c>
      <c r="AH156" s="64">
        <f t="shared" si="32"/>
        <v>0</v>
      </c>
      <c r="AI156" s="65">
        <f t="shared" si="32"/>
        <v>0</v>
      </c>
      <c r="AJ156" s="64" t="str">
        <f t="shared" si="33"/>
        <v/>
      </c>
      <c r="AK156" s="64" t="str">
        <f t="shared" si="29"/>
        <v/>
      </c>
      <c r="AL156" s="66"/>
      <c r="AM156" s="66"/>
    </row>
    <row r="157" spans="1:39" s="67" customFormat="1" ht="24" hidden="1" customHeight="1" x14ac:dyDescent="0.15">
      <c r="A157" s="146">
        <v>145</v>
      </c>
      <c r="B157" s="121"/>
      <c r="C157" s="121"/>
      <c r="D157" s="133"/>
      <c r="E157" s="104"/>
      <c r="F157" s="343"/>
      <c r="G157" s="508"/>
      <c r="H157" s="492"/>
      <c r="I157" s="492"/>
      <c r="J157" s="344"/>
      <c r="K157" s="507"/>
      <c r="L157" s="121"/>
      <c r="M157" s="322"/>
      <c r="N157" s="339"/>
      <c r="O157" s="435"/>
      <c r="P157" s="106"/>
      <c r="Q157" s="106"/>
      <c r="R157" s="106"/>
      <c r="S157" s="541"/>
      <c r="T157" s="64" t="s">
        <v>31</v>
      </c>
      <c r="U157" s="64">
        <f>COUNTIF(D153:D172,"도")</f>
        <v>0</v>
      </c>
      <c r="V157" s="65">
        <f>COUNTIF(I153:I172,"도")</f>
        <v>0</v>
      </c>
      <c r="W157" s="64" t="s">
        <v>26</v>
      </c>
      <c r="X157" s="64">
        <f>SUMIF(D153:D172,"도",F153:F172)</f>
        <v>0</v>
      </c>
      <c r="Y157" s="65">
        <f>SUMIF(I153:I172,"도",K153:K172)</f>
        <v>0</v>
      </c>
      <c r="Z157" s="10">
        <f>COUNTIF(AJ153:AJ172,"도국")+COUNTIF(AJ153:AJ172,"도공")</f>
        <v>0</v>
      </c>
      <c r="AA157" s="42">
        <f>COUNTIF(AK153:AK172,"도국")+COUNTIF(AK153:AK172,"도공")</f>
        <v>0</v>
      </c>
      <c r="AB157" s="10" t="s">
        <v>26</v>
      </c>
      <c r="AC157" s="10">
        <f>SUMIF(AJ153:AJ172,"도국",F153:F172)+SUMIF(AJ153:AJ172,"도공",F153:F172)</f>
        <v>0</v>
      </c>
      <c r="AD157" s="42">
        <f>SUMIF(AK153:AK172,"도국",K153:K172)+SUMIF(AK153:AK172,"도공",K153:K172)</f>
        <v>0</v>
      </c>
      <c r="AE157" s="64">
        <f t="shared" si="31"/>
        <v>0</v>
      </c>
      <c r="AF157" s="65">
        <f t="shared" si="31"/>
        <v>0</v>
      </c>
      <c r="AG157" s="64" t="s">
        <v>26</v>
      </c>
      <c r="AH157" s="64">
        <f t="shared" si="32"/>
        <v>0</v>
      </c>
      <c r="AI157" s="65">
        <f t="shared" si="32"/>
        <v>0</v>
      </c>
      <c r="AJ157" s="64" t="str">
        <f t="shared" si="33"/>
        <v/>
      </c>
      <c r="AK157" s="64" t="str">
        <f t="shared" si="29"/>
        <v/>
      </c>
      <c r="AL157" s="66"/>
      <c r="AM157" s="66"/>
    </row>
    <row r="158" spans="1:39" s="67" customFormat="1" ht="24" hidden="1" customHeight="1" x14ac:dyDescent="0.15">
      <c r="A158" s="146">
        <v>146</v>
      </c>
      <c r="B158" s="121"/>
      <c r="C158" s="121"/>
      <c r="D158" s="133"/>
      <c r="E158" s="104"/>
      <c r="F158" s="343"/>
      <c r="G158" s="508"/>
      <c r="H158" s="492"/>
      <c r="I158" s="492"/>
      <c r="J158" s="344"/>
      <c r="K158" s="507"/>
      <c r="L158" s="121"/>
      <c r="M158" s="322"/>
      <c r="N158" s="339"/>
      <c r="O158" s="435"/>
      <c r="P158" s="106"/>
      <c r="Q158" s="106"/>
      <c r="R158" s="106"/>
      <c r="S158" s="541"/>
      <c r="T158" s="64" t="s">
        <v>32</v>
      </c>
      <c r="U158" s="68">
        <f>COUNTIF(D153:D172,"천")</f>
        <v>0</v>
      </c>
      <c r="V158" s="69">
        <f>COUNTIF(I153:I172,"천")</f>
        <v>0</v>
      </c>
      <c r="W158" s="64" t="s">
        <v>26</v>
      </c>
      <c r="X158" s="64">
        <f>SUMIF(D153:D172,"천",F153:F172)</f>
        <v>0</v>
      </c>
      <c r="Y158" s="65">
        <f>SUMIF(I153:I172,"천",K153:K172)</f>
        <v>0</v>
      </c>
      <c r="Z158" s="10">
        <f>COUNTIF(AJ153:AJ172,"천국")+COUNTIF(AJ153:AJ172,"천공")</f>
        <v>0</v>
      </c>
      <c r="AA158" s="42">
        <f>COUNTIF(AK153:AK172,"천국")+COUNTIF(AK153:AK172,"천공")</f>
        <v>0</v>
      </c>
      <c r="AB158" s="10" t="s">
        <v>26</v>
      </c>
      <c r="AC158" s="10">
        <f>SUMIF(AJ153:AJ172,"천국",F153:F172)+SUMIF(AJ153:AJ172,"천공",F153:F172)</f>
        <v>0</v>
      </c>
      <c r="AD158" s="42">
        <f>SUMIF(AK153:AK172,"천국",K153:K172)+SUMIF(AK153:AK172,"천공",K153:K172)</f>
        <v>0</v>
      </c>
      <c r="AE158" s="64">
        <f t="shared" si="31"/>
        <v>0</v>
      </c>
      <c r="AF158" s="65">
        <f t="shared" si="31"/>
        <v>0</v>
      </c>
      <c r="AG158" s="64" t="s">
        <v>26</v>
      </c>
      <c r="AH158" s="64">
        <f t="shared" si="32"/>
        <v>0</v>
      </c>
      <c r="AI158" s="65">
        <f t="shared" si="32"/>
        <v>0</v>
      </c>
      <c r="AJ158" s="64" t="str">
        <f t="shared" si="33"/>
        <v/>
      </c>
      <c r="AK158" s="64" t="str">
        <f t="shared" si="29"/>
        <v/>
      </c>
      <c r="AL158" s="66"/>
      <c r="AM158" s="66"/>
    </row>
    <row r="159" spans="1:39" s="67" customFormat="1" ht="24" hidden="1" customHeight="1" x14ac:dyDescent="0.15">
      <c r="A159" s="146">
        <v>147</v>
      </c>
      <c r="B159" s="121"/>
      <c r="C159" s="121"/>
      <c r="D159" s="133"/>
      <c r="E159" s="104"/>
      <c r="F159" s="343"/>
      <c r="G159" s="508"/>
      <c r="H159" s="492"/>
      <c r="I159" s="492"/>
      <c r="J159" s="344"/>
      <c r="K159" s="507"/>
      <c r="L159" s="121"/>
      <c r="M159" s="322"/>
      <c r="N159" s="339"/>
      <c r="O159" s="435"/>
      <c r="P159" s="106"/>
      <c r="Q159" s="106"/>
      <c r="R159" s="106"/>
      <c r="S159" s="541"/>
      <c r="T159" s="64" t="s">
        <v>33</v>
      </c>
      <c r="U159" s="64">
        <f>COUNTIF(D153:D172,"구")</f>
        <v>0</v>
      </c>
      <c r="V159" s="65">
        <f>COUNTIF(I153:I172,"구")</f>
        <v>0</v>
      </c>
      <c r="W159" s="64" t="s">
        <v>26</v>
      </c>
      <c r="X159" s="64">
        <f>SUMIF(D153:D172,"구",F153:F172)</f>
        <v>0</v>
      </c>
      <c r="Y159" s="65">
        <f>SUMIF(I153:I172,"구",K153:K172)</f>
        <v>0</v>
      </c>
      <c r="Z159" s="10">
        <f>COUNTIF(AJ153:AJ172,"구국")+COUNTIF(AJ153:AJ172,"구공")</f>
        <v>0</v>
      </c>
      <c r="AA159" s="42">
        <f>COUNTIF(AK153:AK172,"구국")+COUNTIF(AK153:AK172,"구공")</f>
        <v>0</v>
      </c>
      <c r="AB159" s="10" t="s">
        <v>26</v>
      </c>
      <c r="AC159" s="10">
        <f>SUMIF(AJ153:AJ172,"구국",F153:F172)+SUMIF(AJ153:AJ172,"구공",F153:F172)</f>
        <v>0</v>
      </c>
      <c r="AD159" s="42">
        <f>SUMIF(AK153:AK172,"구국",K153:K172)+SUMIF(AK153:AK172,"구공",K153:K172)</f>
        <v>0</v>
      </c>
      <c r="AE159" s="64">
        <f t="shared" si="31"/>
        <v>0</v>
      </c>
      <c r="AF159" s="65">
        <f t="shared" si="31"/>
        <v>0</v>
      </c>
      <c r="AG159" s="64" t="s">
        <v>26</v>
      </c>
      <c r="AH159" s="64">
        <f t="shared" si="32"/>
        <v>0</v>
      </c>
      <c r="AI159" s="65">
        <f t="shared" si="32"/>
        <v>0</v>
      </c>
      <c r="AJ159" s="64" t="str">
        <f t="shared" si="33"/>
        <v/>
      </c>
      <c r="AK159" s="64" t="str">
        <f t="shared" si="29"/>
        <v/>
      </c>
      <c r="AL159" s="66"/>
      <c r="AM159" s="66"/>
    </row>
    <row r="160" spans="1:39" s="67" customFormat="1" ht="24" hidden="1" customHeight="1" x14ac:dyDescent="0.15">
      <c r="A160" s="146">
        <v>148</v>
      </c>
      <c r="B160" s="121"/>
      <c r="C160" s="121"/>
      <c r="D160" s="133"/>
      <c r="E160" s="104"/>
      <c r="F160" s="343"/>
      <c r="G160" s="508"/>
      <c r="H160" s="492"/>
      <c r="I160" s="492"/>
      <c r="J160" s="344"/>
      <c r="K160" s="507"/>
      <c r="L160" s="121"/>
      <c r="M160" s="469"/>
      <c r="N160" s="339"/>
      <c r="O160" s="435"/>
      <c r="P160" s="106"/>
      <c r="Q160" s="106"/>
      <c r="R160" s="106"/>
      <c r="S160" s="541"/>
      <c r="T160" s="64" t="s">
        <v>34</v>
      </c>
      <c r="U160" s="64">
        <f>COUNTIF(D153:D172,"제")</f>
        <v>0</v>
      </c>
      <c r="V160" s="65">
        <f>COUNTIF(I153:I172,"제")</f>
        <v>0</v>
      </c>
      <c r="W160" s="64" t="s">
        <v>26</v>
      </c>
      <c r="X160" s="64">
        <f>SUMIF(D153:D172,"제",F153:F172)</f>
        <v>0</v>
      </c>
      <c r="Y160" s="65">
        <f>SUMIF(I153:I172,"제",K153:K172)</f>
        <v>0</v>
      </c>
      <c r="Z160" s="10">
        <f>COUNTIF(AJ153:AJ172,"제국")+COUNTIF(AJ153:AJ172,"제공")</f>
        <v>0</v>
      </c>
      <c r="AA160" s="42">
        <f>COUNTIF(AK153:AK172,"제국")+COUNTIF(AK153:AK172,"제공")</f>
        <v>0</v>
      </c>
      <c r="AB160" s="10" t="s">
        <v>26</v>
      </c>
      <c r="AC160" s="10">
        <f>SUMIF(AJ153:AJ172,"제국",F153:F172)+SUMIF(AJ153:AJ172,"제공",F153:F172)</f>
        <v>0</v>
      </c>
      <c r="AD160" s="42">
        <f>SUMIF(AK153:AK172,"제국",K153:K172)+SUMIF(AK153:AK172,"제공",K153:K172)</f>
        <v>0</v>
      </c>
      <c r="AE160" s="64">
        <f t="shared" si="31"/>
        <v>0</v>
      </c>
      <c r="AF160" s="65">
        <f t="shared" si="31"/>
        <v>0</v>
      </c>
      <c r="AG160" s="64" t="s">
        <v>26</v>
      </c>
      <c r="AH160" s="64">
        <f t="shared" si="32"/>
        <v>0</v>
      </c>
      <c r="AI160" s="65">
        <f t="shared" si="32"/>
        <v>0</v>
      </c>
      <c r="AJ160" s="64" t="str">
        <f t="shared" si="33"/>
        <v/>
      </c>
      <c r="AK160" s="64" t="str">
        <f t="shared" si="29"/>
        <v/>
      </c>
      <c r="AL160" s="66"/>
      <c r="AM160" s="66"/>
    </row>
    <row r="161" spans="1:39" s="67" customFormat="1" ht="24" hidden="1" customHeight="1" x14ac:dyDescent="0.15">
      <c r="A161" s="146">
        <v>149</v>
      </c>
      <c r="B161" s="121"/>
      <c r="C161" s="360"/>
      <c r="D161" s="133"/>
      <c r="E161" s="376"/>
      <c r="F161" s="343"/>
      <c r="G161" s="596"/>
      <c r="H161" s="584"/>
      <c r="I161" s="584"/>
      <c r="J161" s="594"/>
      <c r="K161" s="594"/>
      <c r="L161" s="360"/>
      <c r="M161" s="588"/>
      <c r="N161" s="597"/>
      <c r="O161" s="595"/>
      <c r="P161" s="589"/>
      <c r="Q161" s="589"/>
      <c r="R161" s="589"/>
      <c r="S161" s="541"/>
      <c r="T161" s="64" t="s">
        <v>46</v>
      </c>
      <c r="U161" s="64">
        <f>COUNTIF(D153:D172,"유")</f>
        <v>0</v>
      </c>
      <c r="V161" s="65">
        <f>COUNTIF(I153:I172,"유")</f>
        <v>0</v>
      </c>
      <c r="W161" s="64" t="s">
        <v>26</v>
      </c>
      <c r="X161" s="64">
        <f>SUMIF(D153:D172,"유",F153:F172)</f>
        <v>0</v>
      </c>
      <c r="Y161" s="65">
        <f>SUMIF(I153:I172,"유",K153:K172)</f>
        <v>0</v>
      </c>
      <c r="Z161" s="10">
        <f>COUNTIF(AJ153:AJ172,"유국")+COUNTIF(AJ153:AJ172,"유공")</f>
        <v>0</v>
      </c>
      <c r="AA161" s="42">
        <f>COUNTIF(AK153:AK172,"유국")+COUNTIF(AK153:AK172,"유공")</f>
        <v>0</v>
      </c>
      <c r="AB161" s="10" t="s">
        <v>26</v>
      </c>
      <c r="AC161" s="10">
        <f>SUMIF(AJ153:AJ172,"유국",F153:F172)+SUMIF(AJ153:AJ172,"유공",F153:F172)</f>
        <v>0</v>
      </c>
      <c r="AD161" s="42">
        <f>SUMIF(AK153:AK172,"유국",K153:K172)+SUMIF(AK153:AK172,"유공",K153:K172)</f>
        <v>0</v>
      </c>
      <c r="AE161" s="64">
        <f t="shared" si="31"/>
        <v>0</v>
      </c>
      <c r="AF161" s="65">
        <f t="shared" si="31"/>
        <v>0</v>
      </c>
      <c r="AG161" s="64" t="s">
        <v>26</v>
      </c>
      <c r="AH161" s="64">
        <f t="shared" si="32"/>
        <v>0</v>
      </c>
      <c r="AI161" s="65">
        <f t="shared" si="32"/>
        <v>0</v>
      </c>
      <c r="AJ161" s="64" t="str">
        <f t="shared" si="33"/>
        <v/>
      </c>
      <c r="AK161" s="64" t="str">
        <f t="shared" si="29"/>
        <v/>
      </c>
      <c r="AL161" s="66"/>
      <c r="AM161" s="66"/>
    </row>
    <row r="162" spans="1:39" s="67" customFormat="1" ht="24" hidden="1" customHeight="1" x14ac:dyDescent="0.15">
      <c r="A162" s="146">
        <v>150</v>
      </c>
      <c r="B162" s="121"/>
      <c r="C162" s="222"/>
      <c r="D162" s="222"/>
      <c r="E162" s="560"/>
      <c r="F162" s="343"/>
      <c r="G162" s="563"/>
      <c r="H162" s="346"/>
      <c r="I162" s="346"/>
      <c r="J162" s="569"/>
      <c r="K162" s="569"/>
      <c r="L162" s="204"/>
      <c r="M162" s="204"/>
      <c r="N162" s="433"/>
      <c r="O162" s="433"/>
      <c r="P162" s="106"/>
      <c r="Q162" s="106"/>
      <c r="R162" s="106"/>
      <c r="S162" s="541"/>
      <c r="T162" s="64" t="s">
        <v>47</v>
      </c>
      <c r="U162" s="64">
        <f>COUNTIF(D153:D172,"과")</f>
        <v>0</v>
      </c>
      <c r="V162" s="65">
        <f>COUNTIF(I153:I172,"과")</f>
        <v>0</v>
      </c>
      <c r="W162" s="64" t="s">
        <v>26</v>
      </c>
      <c r="X162" s="64">
        <f>SUMIF(D153:D172,"과",F153:F172)</f>
        <v>0</v>
      </c>
      <c r="Y162" s="65">
        <f>SUMIF(I153:I172,"과",K153:K172)</f>
        <v>0</v>
      </c>
      <c r="Z162" s="10">
        <f>COUNTIF(AJ153:AJ172,"과국")+COUNTIF(AJ153:AJ172,"과공")</f>
        <v>0</v>
      </c>
      <c r="AA162" s="42">
        <f>COUNTIF(AK153:AK172,"과국")+COUNTIF(AK153:AK172,"과공")</f>
        <v>0</v>
      </c>
      <c r="AB162" s="10" t="s">
        <v>26</v>
      </c>
      <c r="AC162" s="10">
        <f>SUMIF(AJ153:AJ172,"과국",F153:F172)+SUMIF(AJ153:AJ172,"과공",F153:F172)</f>
        <v>0</v>
      </c>
      <c r="AD162" s="42">
        <f>SUMIF(AK153:AK172,"과국",K153:K172)+SUMIF(AK153:AK172,"과공",K153:K172)</f>
        <v>0</v>
      </c>
      <c r="AE162" s="64">
        <f t="shared" si="31"/>
        <v>0</v>
      </c>
      <c r="AF162" s="65">
        <f t="shared" si="31"/>
        <v>0</v>
      </c>
      <c r="AG162" s="64" t="s">
        <v>26</v>
      </c>
      <c r="AH162" s="64">
        <f t="shared" si="32"/>
        <v>0</v>
      </c>
      <c r="AI162" s="65">
        <f t="shared" si="32"/>
        <v>0</v>
      </c>
      <c r="AJ162" s="64" t="str">
        <f t="shared" si="33"/>
        <v/>
      </c>
      <c r="AK162" s="64" t="str">
        <f t="shared" si="29"/>
        <v/>
      </c>
      <c r="AL162" s="66"/>
      <c r="AM162" s="66"/>
    </row>
    <row r="163" spans="1:39" s="67" customFormat="1" ht="24" hidden="1" customHeight="1" x14ac:dyDescent="0.15">
      <c r="A163" s="146">
        <v>151</v>
      </c>
      <c r="B163" s="121"/>
      <c r="C163" s="222"/>
      <c r="D163" s="222"/>
      <c r="E163" s="560"/>
      <c r="F163" s="343"/>
      <c r="G163" s="563"/>
      <c r="H163" s="346"/>
      <c r="I163" s="346"/>
      <c r="J163" s="569"/>
      <c r="K163" s="569"/>
      <c r="L163" s="204"/>
      <c r="M163" s="204"/>
      <c r="N163" s="226"/>
      <c r="O163" s="433"/>
      <c r="P163" s="106"/>
      <c r="Q163" s="106"/>
      <c r="R163" s="106"/>
      <c r="S163" s="541"/>
      <c r="T163" s="64" t="s">
        <v>36</v>
      </c>
      <c r="U163" s="64">
        <f>COUNTIF(D153:D172,"묘")</f>
        <v>0</v>
      </c>
      <c r="V163" s="65">
        <f>COUNTIF(I153:I172,"묘")</f>
        <v>0</v>
      </c>
      <c r="W163" s="64" t="s">
        <v>26</v>
      </c>
      <c r="X163" s="64">
        <f>SUMIF(D153:D172,"묘",F153:F172)</f>
        <v>0</v>
      </c>
      <c r="Y163" s="65">
        <f>SUMIF(I153:I172,"묘",K153:K172)</f>
        <v>0</v>
      </c>
      <c r="Z163" s="10">
        <f>COUNTIF(AJ153:AJ172,"묘국")+COUNTIF(AJ153:AJ172,"묘공")</f>
        <v>0</v>
      </c>
      <c r="AA163" s="42">
        <f>COUNTIF(AK153:AK172,"묘국")+COUNTIF(AK153:AK172,"묘공")</f>
        <v>0</v>
      </c>
      <c r="AB163" s="10" t="s">
        <v>26</v>
      </c>
      <c r="AC163" s="10">
        <f>SUMIF(AJ153:AJ172,"묘국",F153:F172)+SUMIF(AJ153:AJ172,"묘공",F153:F172)</f>
        <v>0</v>
      </c>
      <c r="AD163" s="42">
        <f>SUMIF(AK153:AK172,"묘국",K153:K172)+SUMIF(AK153:AK172,"묘공",K153:K172)</f>
        <v>0</v>
      </c>
      <c r="AE163" s="64">
        <f t="shared" si="31"/>
        <v>0</v>
      </c>
      <c r="AF163" s="65">
        <f t="shared" si="31"/>
        <v>0</v>
      </c>
      <c r="AG163" s="64" t="s">
        <v>26</v>
      </c>
      <c r="AH163" s="64">
        <f t="shared" si="32"/>
        <v>0</v>
      </c>
      <c r="AI163" s="65">
        <f t="shared" si="32"/>
        <v>0</v>
      </c>
      <c r="AJ163" s="64" t="str">
        <f t="shared" si="33"/>
        <v/>
      </c>
      <c r="AK163" s="64" t="str">
        <f t="shared" si="29"/>
        <v/>
      </c>
      <c r="AL163" s="66"/>
      <c r="AM163" s="66"/>
    </row>
    <row r="164" spans="1:39" s="67" customFormat="1" ht="24" hidden="1" customHeight="1" x14ac:dyDescent="0.15">
      <c r="A164" s="146">
        <v>152</v>
      </c>
      <c r="B164" s="121"/>
      <c r="C164" s="562"/>
      <c r="D164" s="121"/>
      <c r="E164" s="104"/>
      <c r="F164" s="343"/>
      <c r="G164" s="508"/>
      <c r="H164" s="512"/>
      <c r="I164" s="351"/>
      <c r="J164" s="511"/>
      <c r="K164" s="511"/>
      <c r="L164" s="322"/>
      <c r="M164" s="322"/>
      <c r="N164" s="339"/>
      <c r="O164" s="435"/>
      <c r="P164" s="106"/>
      <c r="Q164" s="106"/>
      <c r="R164" s="106"/>
      <c r="S164" s="541"/>
      <c r="T164" s="64" t="s">
        <v>39</v>
      </c>
      <c r="U164" s="64">
        <f>COUNTIF(D153:D172,"수")</f>
        <v>0</v>
      </c>
      <c r="V164" s="65">
        <f>COUNTIF(I153:I172,"수")</f>
        <v>0</v>
      </c>
      <c r="W164" s="64" t="s">
        <v>26</v>
      </c>
      <c r="X164" s="64">
        <f>SUMIF(D153:D172,"수",F153:F172)</f>
        <v>0</v>
      </c>
      <c r="Y164" s="65">
        <f>SUMIF(I153:I172,"수",K153:K172)</f>
        <v>0</v>
      </c>
      <c r="Z164" s="10">
        <f>COUNTIF(AJ153:AJ172,"수국")+COUNTIF(AJ153:AJ172,"수공")</f>
        <v>0</v>
      </c>
      <c r="AA164" s="42">
        <f>COUNTIF(AK153:AK172,"수국")+COUNTIF(AK153:AK172,"수공")</f>
        <v>0</v>
      </c>
      <c r="AB164" s="10" t="s">
        <v>26</v>
      </c>
      <c r="AC164" s="10">
        <f>SUMIF(AJ153:AJ172,"수국",F153:F172)+SUMIF(AJ153:AJ172,"수공",F153:F172)</f>
        <v>0</v>
      </c>
      <c r="AD164" s="42">
        <f>SUMIF(AK153:AK172,"수국",K153:K172)+SUMIF(AK153:AK172,"수공",K153:K172)</f>
        <v>0</v>
      </c>
      <c r="AE164" s="64">
        <f t="shared" si="31"/>
        <v>0</v>
      </c>
      <c r="AF164" s="65">
        <f t="shared" si="31"/>
        <v>0</v>
      </c>
      <c r="AG164" s="64" t="s">
        <v>26</v>
      </c>
      <c r="AH164" s="64">
        <f t="shared" si="32"/>
        <v>0</v>
      </c>
      <c r="AI164" s="65">
        <f t="shared" si="32"/>
        <v>0</v>
      </c>
      <c r="AJ164" s="64" t="str">
        <f t="shared" si="33"/>
        <v/>
      </c>
      <c r="AK164" s="64" t="str">
        <f t="shared" si="29"/>
        <v/>
      </c>
      <c r="AL164" s="66"/>
      <c r="AM164" s="66"/>
    </row>
    <row r="165" spans="1:39" s="67" customFormat="1" ht="24" hidden="1" customHeight="1" x14ac:dyDescent="0.15">
      <c r="A165" s="146">
        <v>153</v>
      </c>
      <c r="B165" s="121"/>
      <c r="C165" s="121"/>
      <c r="D165" s="121"/>
      <c r="E165" s="104"/>
      <c r="F165" s="104"/>
      <c r="G165" s="508"/>
      <c r="H165" s="351"/>
      <c r="I165" s="351"/>
      <c r="J165" s="511"/>
      <c r="K165" s="511"/>
      <c r="L165" s="322"/>
      <c r="M165" s="322"/>
      <c r="N165" s="435"/>
      <c r="O165" s="339"/>
      <c r="P165" s="106"/>
      <c r="Q165" s="106"/>
      <c r="R165" s="106"/>
      <c r="S165" s="541"/>
      <c r="T165" s="64" t="s">
        <v>35</v>
      </c>
      <c r="U165" s="64">
        <f>COUNTIF(D153:D172,"잡")</f>
        <v>0</v>
      </c>
      <c r="V165" s="65">
        <f>COUNTIF(I153:I172,"잡")</f>
        <v>0</v>
      </c>
      <c r="W165" s="64" t="s">
        <v>26</v>
      </c>
      <c r="X165" s="64">
        <f>SUMIF(D153:D172,"잡",F153:F172)</f>
        <v>0</v>
      </c>
      <c r="Y165" s="65">
        <f>SUMIF(I153:I172,"잡",K153:K172)</f>
        <v>0</v>
      </c>
      <c r="Z165" s="10">
        <f>COUNTIF(AJ153:AJ172,"잡국")+COUNTIF(AJ153:AJ172,"잡공")</f>
        <v>0</v>
      </c>
      <c r="AA165" s="42">
        <f>COUNTIF(AK153:AK172,"잡국")+COUNTIF(AK153:AK172,"잡공")</f>
        <v>0</v>
      </c>
      <c r="AB165" s="10" t="s">
        <v>26</v>
      </c>
      <c r="AC165" s="10">
        <f>SUMIF(AJ153:AJ172,"잡국",F153:F172)+SUMIF(AJ153:AJ172,"잡공",F153:F172)</f>
        <v>0</v>
      </c>
      <c r="AD165" s="42">
        <f>SUMIF(AK153:AK172,"잡국",K153:K172)+SUMIF(AK153:AK172,"잡공",K153:K172)</f>
        <v>0</v>
      </c>
      <c r="AE165" s="64">
        <f t="shared" si="31"/>
        <v>0</v>
      </c>
      <c r="AF165" s="65">
        <f t="shared" si="31"/>
        <v>0</v>
      </c>
      <c r="AG165" s="64" t="s">
        <v>26</v>
      </c>
      <c r="AH165" s="64">
        <f t="shared" si="32"/>
        <v>0</v>
      </c>
      <c r="AI165" s="65">
        <f t="shared" si="32"/>
        <v>0</v>
      </c>
      <c r="AJ165" s="64" t="str">
        <f t="shared" si="33"/>
        <v/>
      </c>
      <c r="AK165" s="64" t="str">
        <f t="shared" si="29"/>
        <v/>
      </c>
      <c r="AL165" s="66"/>
      <c r="AM165" s="66"/>
    </row>
    <row r="166" spans="1:39" s="67" customFormat="1" ht="24" hidden="1" customHeight="1" x14ac:dyDescent="0.15">
      <c r="A166" s="146">
        <v>154</v>
      </c>
      <c r="B166" s="121"/>
      <c r="C166" s="121"/>
      <c r="D166" s="121"/>
      <c r="E166" s="104"/>
      <c r="F166" s="104"/>
      <c r="G166" s="508"/>
      <c r="H166" s="351"/>
      <c r="I166" s="351"/>
      <c r="J166" s="511"/>
      <c r="K166" s="511"/>
      <c r="L166" s="322"/>
      <c r="M166" s="322"/>
      <c r="N166" s="435"/>
      <c r="O166" s="435"/>
      <c r="P166" s="106"/>
      <c r="Q166" s="106"/>
      <c r="R166" s="106"/>
      <c r="S166" s="541"/>
      <c r="T166" s="64" t="s">
        <v>51</v>
      </c>
      <c r="U166" s="64">
        <f>COUNTIF(D153:D172,"체")</f>
        <v>0</v>
      </c>
      <c r="V166" s="65">
        <f>COUNTIF(I153:I172,"체")</f>
        <v>0</v>
      </c>
      <c r="W166" s="64" t="s">
        <v>26</v>
      </c>
      <c r="X166" s="64">
        <f>SUMIF(D153:D172,"체",F153:F172)</f>
        <v>0</v>
      </c>
      <c r="Y166" s="65">
        <f>SUMIF(I153:I172,"체",K153:K172)</f>
        <v>0</v>
      </c>
      <c r="Z166" s="10">
        <f>COUNTIF(AJ153:AJ172,"체국")+COUNTIF(AJ153:AJ172,"체공")</f>
        <v>0</v>
      </c>
      <c r="AA166" s="42">
        <f>COUNTIF(AK153:AK172,"체국")+COUNTIF(AK153:AK172,"체공")</f>
        <v>0</v>
      </c>
      <c r="AB166" s="10" t="s">
        <v>26</v>
      </c>
      <c r="AC166" s="10">
        <f>SUMIF(AJ153:AJ172,"체국",F153:F172)+SUMIF(AJ153:AJ172,"체공",F153:F172)</f>
        <v>0</v>
      </c>
      <c r="AD166" s="42">
        <f>SUMIF(AK153:AK172,"체국",K153:K172)+SUMIF(AK153:AK172,"체공",K153:K172)</f>
        <v>0</v>
      </c>
      <c r="AE166" s="64">
        <f t="shared" si="31"/>
        <v>0</v>
      </c>
      <c r="AF166" s="65">
        <f t="shared" si="31"/>
        <v>0</v>
      </c>
      <c r="AG166" s="64" t="s">
        <v>26</v>
      </c>
      <c r="AH166" s="64">
        <f t="shared" si="32"/>
        <v>0</v>
      </c>
      <c r="AI166" s="65">
        <f t="shared" si="32"/>
        <v>0</v>
      </c>
      <c r="AJ166" s="64" t="str">
        <f t="shared" si="33"/>
        <v/>
      </c>
      <c r="AK166" s="64" t="str">
        <f t="shared" si="29"/>
        <v/>
      </c>
      <c r="AL166" s="66"/>
      <c r="AM166" s="66"/>
    </row>
    <row r="167" spans="1:39" s="67" customFormat="1" ht="24" hidden="1" customHeight="1" x14ac:dyDescent="0.15">
      <c r="A167" s="146">
        <v>155</v>
      </c>
      <c r="B167" s="121"/>
      <c r="C167" s="121"/>
      <c r="D167" s="121"/>
      <c r="E167" s="104"/>
      <c r="F167" s="104"/>
      <c r="G167" s="508"/>
      <c r="H167" s="351"/>
      <c r="I167" s="351"/>
      <c r="J167" s="511"/>
      <c r="K167" s="511"/>
      <c r="L167" s="322"/>
      <c r="M167" s="322"/>
      <c r="N167" s="435"/>
      <c r="O167" s="435"/>
      <c r="P167" s="106"/>
      <c r="Q167" s="106"/>
      <c r="R167" s="106"/>
      <c r="S167" s="541"/>
      <c r="T167" s="64" t="s">
        <v>50</v>
      </c>
      <c r="U167" s="64">
        <f>COUNTIF(D153:D172,"공")</f>
        <v>0</v>
      </c>
      <c r="V167" s="65">
        <f>COUNTIF(I153:I172,"공")</f>
        <v>0</v>
      </c>
      <c r="W167" s="64" t="s">
        <v>26</v>
      </c>
      <c r="X167" s="64">
        <f>SUMIF(D153:D172,"공",F153:F172)</f>
        <v>0</v>
      </c>
      <c r="Y167" s="65">
        <f>SUMIF(I153:I172,"공",K153:K172)</f>
        <v>0</v>
      </c>
      <c r="Z167" s="10">
        <f>COUNTIF(AJ153:AJ172,"공국")+COUNTIF(AJ153:AJ172,"공공")</f>
        <v>0</v>
      </c>
      <c r="AA167" s="42">
        <f>COUNTIF(AK153:AK172,"공국")+COUNTIF(AK153:AK172,"공공")</f>
        <v>0</v>
      </c>
      <c r="AB167" s="10" t="s">
        <v>26</v>
      </c>
      <c r="AC167" s="10">
        <f>SUMIF(AJ153:AJ172,"공국",F153:F172)+SUMIF(AJ153:AJ172,"공공",F153:F172)</f>
        <v>0</v>
      </c>
      <c r="AD167" s="42">
        <f>SUMIF(AK153:AK172,"공국",K153:K172)+SUMIF(AK153:AK172,"공공",K153:K172)</f>
        <v>0</v>
      </c>
      <c r="AE167" s="64">
        <f t="shared" si="31"/>
        <v>0</v>
      </c>
      <c r="AF167" s="65">
        <f t="shared" si="31"/>
        <v>0</v>
      </c>
      <c r="AG167" s="64" t="s">
        <v>26</v>
      </c>
      <c r="AH167" s="64">
        <f t="shared" si="32"/>
        <v>0</v>
      </c>
      <c r="AI167" s="65">
        <f t="shared" si="32"/>
        <v>0</v>
      </c>
      <c r="AJ167" s="64" t="str">
        <f t="shared" si="33"/>
        <v/>
      </c>
      <c r="AK167" s="64" t="str">
        <f t="shared" si="29"/>
        <v/>
      </c>
      <c r="AL167" s="66"/>
      <c r="AM167" s="66"/>
    </row>
    <row r="168" spans="1:39" s="67" customFormat="1" ht="24" hidden="1" customHeight="1" x14ac:dyDescent="0.15">
      <c r="A168" s="146">
        <v>156</v>
      </c>
      <c r="B168" s="121"/>
      <c r="C168" s="121"/>
      <c r="D168" s="121"/>
      <c r="E168" s="104"/>
      <c r="F168" s="104"/>
      <c r="G168" s="508"/>
      <c r="H168" s="351"/>
      <c r="I168" s="351"/>
      <c r="J168" s="511"/>
      <c r="K168" s="511"/>
      <c r="L168" s="121"/>
      <c r="M168" s="121"/>
      <c r="N168" s="339"/>
      <c r="O168" s="435"/>
      <c r="P168" s="106"/>
      <c r="Q168" s="106"/>
      <c r="R168" s="106"/>
      <c r="S168" s="541"/>
      <c r="T168" s="70" t="s">
        <v>40</v>
      </c>
      <c r="U168" s="64">
        <f>COUNTIF(D153:D172,"장")</f>
        <v>0</v>
      </c>
      <c r="V168" s="65">
        <f>COUNTIF(I153:I172,"장")</f>
        <v>0</v>
      </c>
      <c r="W168" s="64" t="s">
        <v>26</v>
      </c>
      <c r="X168" s="64">
        <f>SUMIF(D153:D172,"장",F153:F172)</f>
        <v>0</v>
      </c>
      <c r="Y168" s="65">
        <f>SUMIF(I153:I172,"장",K153:K172)</f>
        <v>0</v>
      </c>
      <c r="Z168" s="10">
        <f>COUNTIF(AJ153:AJ172,"장국")+COUNTIF(AJ153:AJ172,"장공")</f>
        <v>0</v>
      </c>
      <c r="AA168" s="42">
        <f>COUNTIF(AK153:AK172,"장국")+COUNTIF(AK153:AK172,"장공")</f>
        <v>0</v>
      </c>
      <c r="AB168" s="10" t="s">
        <v>26</v>
      </c>
      <c r="AC168" s="10">
        <f>SUMIF(AJ153:AJ172,"장국",F153:F172)+SUMIF(AJ153:AJ172,"장공",F153:F172)</f>
        <v>0</v>
      </c>
      <c r="AD168" s="42">
        <f>SUMIF(AK153:AK172,"장국",K153:K172)+SUMIF(AK153:AK172,"장공",K153:K172)</f>
        <v>0</v>
      </c>
      <c r="AE168" s="64">
        <f t="shared" si="31"/>
        <v>0</v>
      </c>
      <c r="AF168" s="65">
        <f t="shared" si="31"/>
        <v>0</v>
      </c>
      <c r="AG168" s="64" t="s">
        <v>26</v>
      </c>
      <c r="AH168" s="64">
        <f t="shared" si="32"/>
        <v>0</v>
      </c>
      <c r="AI168" s="65">
        <f t="shared" si="32"/>
        <v>0</v>
      </c>
      <c r="AJ168" s="64" t="str">
        <f t="shared" si="33"/>
        <v/>
      </c>
      <c r="AK168" s="64" t="str">
        <f t="shared" si="29"/>
        <v/>
      </c>
      <c r="AL168" s="66"/>
      <c r="AM168" s="66"/>
    </row>
    <row r="169" spans="1:39" s="67" customFormat="1" ht="24" hidden="1" customHeight="1" x14ac:dyDescent="0.15">
      <c r="A169" s="146">
        <v>157</v>
      </c>
      <c r="B169" s="121"/>
      <c r="C169" s="121"/>
      <c r="D169" s="133"/>
      <c r="E169" s="104"/>
      <c r="F169" s="343"/>
      <c r="G169" s="508"/>
      <c r="H169" s="351"/>
      <c r="I169" s="351"/>
      <c r="J169" s="511"/>
      <c r="K169" s="511"/>
      <c r="L169" s="121"/>
      <c r="M169" s="121"/>
      <c r="N169" s="339"/>
      <c r="O169" s="339"/>
      <c r="P169" s="106"/>
      <c r="Q169" s="106"/>
      <c r="R169" s="106"/>
      <c r="S169" s="541"/>
      <c r="T169" s="70" t="s">
        <v>5</v>
      </c>
      <c r="U169" s="64">
        <f>COUNTIF(D153:D172,"목")</f>
        <v>0</v>
      </c>
      <c r="V169" s="65">
        <f>COUNTIF(I153:I172,"목")</f>
        <v>0</v>
      </c>
      <c r="W169" s="64" t="s">
        <v>26</v>
      </c>
      <c r="X169" s="64">
        <f>SUMIF(D153:D172,"목",F153:F172)</f>
        <v>0</v>
      </c>
      <c r="Y169" s="65">
        <f>SUMIF(I153:I172,"목",K153:K172)</f>
        <v>0</v>
      </c>
      <c r="Z169" s="10">
        <f>COUNTIF(AJ153:AJ172,"목국")+COUNTIF(AJ153:AJ172,"목공")</f>
        <v>0</v>
      </c>
      <c r="AA169" s="42">
        <f>COUNTIF(AK153:AK172,"목국")+COUNTIF(AK153:AK172,"목공")</f>
        <v>0</v>
      </c>
      <c r="AB169" s="10" t="s">
        <v>26</v>
      </c>
      <c r="AC169" s="10">
        <f>SUMIF(AJ153:AJ172,"목국",F153:F172)+SUMIF(AJ153:AJ172,"목공",F153:F172)</f>
        <v>0</v>
      </c>
      <c r="AD169" s="42">
        <f>SUMIF(AK153:AK172,"목국",K153:K172)+SUMIF(AK153:AK172,"목공",K153:K172)</f>
        <v>0</v>
      </c>
      <c r="AE169" s="64">
        <f t="shared" si="31"/>
        <v>0</v>
      </c>
      <c r="AF169" s="65">
        <f t="shared" si="31"/>
        <v>0</v>
      </c>
      <c r="AG169" s="64" t="s">
        <v>26</v>
      </c>
      <c r="AH169" s="64">
        <f t="shared" si="32"/>
        <v>0</v>
      </c>
      <c r="AI169" s="65">
        <f t="shared" si="32"/>
        <v>0</v>
      </c>
      <c r="AJ169" s="64" t="str">
        <f t="shared" si="33"/>
        <v/>
      </c>
      <c r="AK169" s="64" t="str">
        <f t="shared" si="29"/>
        <v/>
      </c>
      <c r="AL169" s="66"/>
      <c r="AM169" s="66"/>
    </row>
    <row r="170" spans="1:39" s="67" customFormat="1" ht="24" hidden="1" customHeight="1" x14ac:dyDescent="0.15">
      <c r="A170" s="146">
        <v>158</v>
      </c>
      <c r="B170" s="121"/>
      <c r="C170" s="340"/>
      <c r="D170" s="133"/>
      <c r="E170" s="104"/>
      <c r="F170" s="343"/>
      <c r="G170" s="508"/>
      <c r="H170" s="512"/>
      <c r="I170" s="351"/>
      <c r="J170" s="511"/>
      <c r="K170" s="511"/>
      <c r="L170" s="121"/>
      <c r="M170" s="121"/>
      <c r="N170" s="339"/>
      <c r="O170" s="339"/>
      <c r="P170" s="124"/>
      <c r="Q170" s="124"/>
      <c r="R170" s="124"/>
      <c r="S170" s="541"/>
      <c r="T170" s="70"/>
      <c r="U170" s="70"/>
      <c r="V170" s="71"/>
      <c r="W170" s="70"/>
      <c r="X170" s="70"/>
      <c r="Y170" s="71"/>
      <c r="Z170" s="10"/>
      <c r="AA170" s="42"/>
      <c r="AB170" s="11"/>
      <c r="AC170" s="10"/>
      <c r="AD170" s="42"/>
      <c r="AE170" s="70"/>
      <c r="AF170" s="71"/>
      <c r="AG170" s="70"/>
      <c r="AH170" s="70"/>
      <c r="AI170" s="71"/>
      <c r="AJ170" s="64" t="str">
        <f t="shared" si="33"/>
        <v/>
      </c>
      <c r="AK170" s="64" t="str">
        <f t="shared" si="29"/>
        <v/>
      </c>
      <c r="AL170" s="66"/>
      <c r="AM170" s="66"/>
    </row>
    <row r="171" spans="1:39" s="67" customFormat="1" ht="24" hidden="1" customHeight="1" x14ac:dyDescent="0.15">
      <c r="A171" s="146">
        <v>159</v>
      </c>
      <c r="B171" s="121"/>
      <c r="C171" s="121"/>
      <c r="D171" s="121"/>
      <c r="E171" s="104"/>
      <c r="F171" s="343"/>
      <c r="G171" s="508"/>
      <c r="H171" s="351"/>
      <c r="I171" s="351"/>
      <c r="J171" s="511"/>
      <c r="K171" s="511"/>
      <c r="L171" s="121"/>
      <c r="M171" s="469"/>
      <c r="N171" s="339"/>
      <c r="O171" s="531"/>
      <c r="P171" s="106"/>
      <c r="Q171" s="106"/>
      <c r="R171" s="106"/>
      <c r="S171" s="541"/>
      <c r="T171" s="70"/>
      <c r="U171" s="70"/>
      <c r="V171" s="71"/>
      <c r="W171" s="70"/>
      <c r="X171" s="70"/>
      <c r="Y171" s="71"/>
      <c r="Z171" s="10"/>
      <c r="AA171" s="42"/>
      <c r="AB171" s="11"/>
      <c r="AC171" s="10"/>
      <c r="AD171" s="42"/>
      <c r="AE171" s="70"/>
      <c r="AF171" s="71"/>
      <c r="AG171" s="70"/>
      <c r="AH171" s="70"/>
      <c r="AI171" s="71"/>
      <c r="AJ171" s="64" t="str">
        <f t="shared" si="33"/>
        <v/>
      </c>
      <c r="AK171" s="64" t="str">
        <f t="shared" si="29"/>
        <v/>
      </c>
      <c r="AL171" s="66"/>
      <c r="AM171" s="66"/>
    </row>
    <row r="172" spans="1:39" s="67" customFormat="1" ht="24" hidden="1" customHeight="1" x14ac:dyDescent="0.15">
      <c r="A172" s="146">
        <v>160</v>
      </c>
      <c r="B172" s="121"/>
      <c r="C172" s="121"/>
      <c r="D172" s="121"/>
      <c r="E172" s="104"/>
      <c r="F172" s="104"/>
      <c r="G172" s="508"/>
      <c r="H172" s="351"/>
      <c r="I172" s="351"/>
      <c r="J172" s="511"/>
      <c r="K172" s="511"/>
      <c r="L172" s="322"/>
      <c r="M172" s="121"/>
      <c r="N172" s="435"/>
      <c r="O172" s="339"/>
      <c r="P172" s="124"/>
      <c r="Q172" s="124"/>
      <c r="R172" s="124"/>
      <c r="S172" s="541"/>
      <c r="T172" s="72" t="s">
        <v>37</v>
      </c>
      <c r="U172" s="72">
        <f>COUNTIF(D153:D172,"철")</f>
        <v>0</v>
      </c>
      <c r="V172" s="73">
        <f>COUNTIF(I153:I172,"철")</f>
        <v>0</v>
      </c>
      <c r="W172" s="72" t="s">
        <v>26</v>
      </c>
      <c r="X172" s="72">
        <f>SUMIF(D153:D172,"철",F153:F172)</f>
        <v>0</v>
      </c>
      <c r="Y172" s="73">
        <f>SUMIF(I153:I172,"철",K153:K172)</f>
        <v>0</v>
      </c>
      <c r="Z172" s="10">
        <f>COUNTIF(AJ153:AJ172,"철국")+COUNTIF(AJ153:AJ172,"철공")</f>
        <v>0</v>
      </c>
      <c r="AA172" s="42">
        <f>COUNTIF(AK153:AK172,"철국")+COUNTIF(AK153:AK172,"철공")</f>
        <v>0</v>
      </c>
      <c r="AB172" s="12" t="s">
        <v>26</v>
      </c>
      <c r="AC172" s="10">
        <f>SUMIF(AJ153:AJ172,"철국",F153:F172)+SUMIF(AJ153:AJ172,"철공",F153:F172)</f>
        <v>0</v>
      </c>
      <c r="AD172" s="42">
        <f>SUMIF(AK153:AK172,"철국",K153:K172)+SUMIF(AK153:AK172,"철공",K153:K172)</f>
        <v>0</v>
      </c>
      <c r="AE172" s="72"/>
      <c r="AF172" s="73"/>
      <c r="AG172" s="72"/>
      <c r="AH172" s="72"/>
      <c r="AI172" s="73"/>
      <c r="AJ172" s="64" t="str">
        <f t="shared" si="33"/>
        <v/>
      </c>
      <c r="AK172" s="64" t="str">
        <f t="shared" si="29"/>
        <v/>
      </c>
      <c r="AL172" s="66"/>
      <c r="AM172" s="66"/>
    </row>
    <row r="173" spans="1:39" s="57" customFormat="1" ht="24" hidden="1" customHeight="1" thickBot="1" x14ac:dyDescent="0.2">
      <c r="A173" s="147" t="s">
        <v>48</v>
      </c>
      <c r="B173" s="148"/>
      <c r="C173" s="148"/>
      <c r="D173" s="148"/>
      <c r="E173" s="148"/>
      <c r="F173" s="149">
        <f>SUM(F153:F172)</f>
        <v>0</v>
      </c>
      <c r="G173" s="496"/>
      <c r="H173" s="496"/>
      <c r="I173" s="497"/>
      <c r="J173" s="516"/>
      <c r="K173" s="529">
        <f>SUM(K153:K172)</f>
        <v>0</v>
      </c>
      <c r="L173" s="150"/>
      <c r="M173" s="150"/>
      <c r="N173" s="432"/>
      <c r="O173" s="432"/>
      <c r="P173" s="150"/>
      <c r="Q173" s="150"/>
      <c r="R173" s="150"/>
      <c r="S173" s="151"/>
      <c r="T173" s="62" t="s">
        <v>24</v>
      </c>
      <c r="U173" s="63">
        <f t="shared" ref="U173:AA173" si="34">SUM(U153:U172)</f>
        <v>0</v>
      </c>
      <c r="V173" s="63">
        <f t="shared" si="34"/>
        <v>0</v>
      </c>
      <c r="W173" s="63">
        <f t="shared" si="34"/>
        <v>0</v>
      </c>
      <c r="X173" s="63">
        <f t="shared" si="34"/>
        <v>0</v>
      </c>
      <c r="Y173" s="63">
        <f t="shared" si="34"/>
        <v>0</v>
      </c>
      <c r="Z173" s="37">
        <f t="shared" si="34"/>
        <v>0</v>
      </c>
      <c r="AA173" s="43">
        <f t="shared" si="34"/>
        <v>0</v>
      </c>
      <c r="AB173" s="37" t="s">
        <v>26</v>
      </c>
      <c r="AC173" s="37">
        <f>SUM(AC153:AC172)</f>
        <v>0</v>
      </c>
      <c r="AD173" s="43">
        <f>SUM(AD153:AD172)</f>
        <v>0</v>
      </c>
      <c r="AE173" s="63">
        <f>SUM(AE153:AE172)</f>
        <v>0</v>
      </c>
      <c r="AF173" s="63">
        <f>SUM(AF153:AF172)</f>
        <v>0</v>
      </c>
      <c r="AG173" s="63" t="s">
        <v>26</v>
      </c>
      <c r="AH173" s="63">
        <f>SUM(AH153:AH172)</f>
        <v>0</v>
      </c>
      <c r="AI173" s="63">
        <f>SUM(AI153:AI172)</f>
        <v>0</v>
      </c>
      <c r="AJ173" s="63"/>
      <c r="AK173" s="64" t="str">
        <f t="shared" si="29"/>
        <v/>
      </c>
    </row>
    <row r="174" spans="1:39" s="67" customFormat="1" ht="24" hidden="1" customHeight="1" x14ac:dyDescent="0.15">
      <c r="A174" s="139">
        <v>161</v>
      </c>
      <c r="B174" s="536"/>
      <c r="C174" s="215"/>
      <c r="D174" s="215"/>
      <c r="E174" s="537"/>
      <c r="F174" s="343"/>
      <c r="G174" s="538"/>
      <c r="H174" s="549"/>
      <c r="I174" s="549"/>
      <c r="J174" s="550"/>
      <c r="K174" s="550"/>
      <c r="L174" s="387"/>
      <c r="M174" s="215"/>
      <c r="N174" s="456"/>
      <c r="O174" s="392"/>
      <c r="P174" s="220"/>
      <c r="Q174" s="220"/>
      <c r="R174" s="220"/>
      <c r="S174" s="221"/>
      <c r="T174" s="64" t="s">
        <v>27</v>
      </c>
      <c r="U174" s="64">
        <f>COUNTIF(D174:D193,"전")</f>
        <v>0</v>
      </c>
      <c r="V174" s="65">
        <f>COUNTIF(I174:I193,"전")</f>
        <v>0</v>
      </c>
      <c r="W174" s="64" t="s">
        <v>26</v>
      </c>
      <c r="X174" s="64">
        <f>SUMIF(D174:D193,"전",F174:F193)</f>
        <v>0</v>
      </c>
      <c r="Y174" s="65">
        <f>SUMIF(I174:I193,"전",K174:K193)</f>
        <v>0</v>
      </c>
      <c r="Z174" s="10">
        <f>COUNTIF(AJ174:AJ193,"전국")+COUNTIF(AJ174:AJ193,"전공")</f>
        <v>0</v>
      </c>
      <c r="AA174" s="42">
        <f>COUNTIF(AK174:AK193,"전국")+COUNTIF(AK174:AK193,"전공")</f>
        <v>0</v>
      </c>
      <c r="AB174" s="10" t="s">
        <v>26</v>
      </c>
      <c r="AC174" s="10">
        <f>SUMIF(AJ174:AJ193,"전국",F174:F193)+SUMIF(AJ174:AJ193,"전공",F174:F193)</f>
        <v>0</v>
      </c>
      <c r="AD174" s="42">
        <f>SUMIF(AK174:AK193,"전국",K174:K193)+SUMIF(AK174:AK193,"전공",K174:K193)</f>
        <v>0</v>
      </c>
      <c r="AE174" s="64">
        <f t="shared" ref="AE174:AF190" si="35">U174-Z174</f>
        <v>0</v>
      </c>
      <c r="AF174" s="65">
        <f t="shared" si="35"/>
        <v>0</v>
      </c>
      <c r="AG174" s="64" t="s">
        <v>26</v>
      </c>
      <c r="AH174" s="64">
        <f t="shared" ref="AH174:AI190" si="36">X174-AC174</f>
        <v>0</v>
      </c>
      <c r="AI174" s="65">
        <f t="shared" si="36"/>
        <v>0</v>
      </c>
      <c r="AJ174" s="64" t="str">
        <f t="shared" ref="AJ174:AJ193" si="37">CONCATENATE(D174,L174)</f>
        <v/>
      </c>
      <c r="AK174" s="64" t="str">
        <f t="shared" si="29"/>
        <v/>
      </c>
      <c r="AL174" s="66"/>
      <c r="AM174" s="66"/>
    </row>
    <row r="175" spans="1:39" s="67" customFormat="1" ht="24" hidden="1" customHeight="1" x14ac:dyDescent="0.15">
      <c r="A175" s="146">
        <v>162</v>
      </c>
      <c r="B175" s="121"/>
      <c r="C175" s="121"/>
      <c r="D175" s="121"/>
      <c r="E175" s="104"/>
      <c r="F175" s="343"/>
      <c r="G175" s="508"/>
      <c r="H175" s="513"/>
      <c r="I175" s="351"/>
      <c r="J175" s="511"/>
      <c r="K175" s="511"/>
      <c r="L175" s="322"/>
      <c r="M175" s="322"/>
      <c r="N175" s="435"/>
      <c r="O175" s="435"/>
      <c r="P175" s="123"/>
      <c r="Q175" s="123"/>
      <c r="R175" s="123"/>
      <c r="S175" s="206"/>
      <c r="T175" s="64" t="s">
        <v>28</v>
      </c>
      <c r="U175" s="64">
        <f>COUNTIF(D174:D193,"답")</f>
        <v>0</v>
      </c>
      <c r="V175" s="65">
        <f>COUNTIF(I174:I193,"답")</f>
        <v>0</v>
      </c>
      <c r="W175" s="64" t="s">
        <v>26</v>
      </c>
      <c r="X175" s="64">
        <f>SUMIF(D174:D193,"답",F174:F193)</f>
        <v>0</v>
      </c>
      <c r="Y175" s="65">
        <f>SUMIF(I174:I193,"답",K174:K193)</f>
        <v>0</v>
      </c>
      <c r="Z175" s="10">
        <f>COUNTIF(AJ174:AJ193,"답국")+COUNTIF(AJ174:AJ193,"답공")</f>
        <v>0</v>
      </c>
      <c r="AA175" s="42">
        <f>COUNTIF(AK174:AK193,"답국")+COUNTIF(AK174:AK193,"답공")</f>
        <v>0</v>
      </c>
      <c r="AB175" s="10" t="s">
        <v>26</v>
      </c>
      <c r="AC175" s="10">
        <f>SUMIF(AJ174:AJ193,"답국",F174:F193)+SUMIF(AJ174:AJ193,"답공",F174:F193)</f>
        <v>0</v>
      </c>
      <c r="AD175" s="42">
        <f>SUMIF(AK174:AK193,"답국",K174:K193)+SUMIF(AK174:AK193,"답공",K174:K193)</f>
        <v>0</v>
      </c>
      <c r="AE175" s="64">
        <f t="shared" si="35"/>
        <v>0</v>
      </c>
      <c r="AF175" s="65">
        <f t="shared" si="35"/>
        <v>0</v>
      </c>
      <c r="AG175" s="64" t="s">
        <v>26</v>
      </c>
      <c r="AH175" s="64">
        <f t="shared" si="36"/>
        <v>0</v>
      </c>
      <c r="AI175" s="65">
        <f t="shared" si="36"/>
        <v>0</v>
      </c>
      <c r="AJ175" s="64" t="str">
        <f t="shared" si="37"/>
        <v/>
      </c>
      <c r="AK175" s="64" t="str">
        <f t="shared" si="29"/>
        <v/>
      </c>
      <c r="AL175" s="66"/>
      <c r="AM175" s="66"/>
    </row>
    <row r="176" spans="1:39" s="67" customFormat="1" ht="24" hidden="1" customHeight="1" x14ac:dyDescent="0.15">
      <c r="A176" s="146">
        <v>163</v>
      </c>
      <c r="B176" s="121"/>
      <c r="C176" s="121"/>
      <c r="D176" s="133"/>
      <c r="E176" s="104"/>
      <c r="F176" s="343"/>
      <c r="G176" s="508"/>
      <c r="H176" s="351"/>
      <c r="I176" s="351"/>
      <c r="J176" s="511"/>
      <c r="K176" s="511"/>
      <c r="L176" s="121"/>
      <c r="M176" s="121"/>
      <c r="N176" s="339"/>
      <c r="O176" s="339"/>
      <c r="P176" s="123"/>
      <c r="Q176" s="123"/>
      <c r="R176" s="123"/>
      <c r="S176" s="206"/>
      <c r="T176" s="64" t="s">
        <v>44</v>
      </c>
      <c r="U176" s="64">
        <f>COUNTIF(D174:D193,"임")</f>
        <v>0</v>
      </c>
      <c r="V176" s="65">
        <f>COUNTIF(I174:I193,"임")</f>
        <v>0</v>
      </c>
      <c r="W176" s="64" t="s">
        <v>26</v>
      </c>
      <c r="X176" s="64">
        <f>SUMIF(D174:D193,"임",F174:F193)</f>
        <v>0</v>
      </c>
      <c r="Y176" s="65">
        <f>SUMIF(I174:I193,"임",K174:K193)</f>
        <v>0</v>
      </c>
      <c r="Z176" s="10">
        <f>COUNTIF(AJ174:AJ193,"임국")+COUNTIF(AJ174:AJ193,"임공")</f>
        <v>0</v>
      </c>
      <c r="AA176" s="42">
        <f>COUNTIF(AK174:AK193,"임국")+COUNTIF(AK174:AK193,"임공")</f>
        <v>0</v>
      </c>
      <c r="AB176" s="10" t="s">
        <v>26</v>
      </c>
      <c r="AC176" s="10">
        <f>SUMIF(AJ174:AJ193,"임국",F174:F193)+SUMIF(AJ174:AJ193,"임공",F174:F193)</f>
        <v>0</v>
      </c>
      <c r="AD176" s="42">
        <f>SUMIF(AK174:AK193,"임국",K174:K193)+SUMIF(AK174:AK193,"임공",K174:K193)</f>
        <v>0</v>
      </c>
      <c r="AE176" s="64">
        <f t="shared" si="35"/>
        <v>0</v>
      </c>
      <c r="AF176" s="65">
        <f t="shared" si="35"/>
        <v>0</v>
      </c>
      <c r="AG176" s="64" t="s">
        <v>26</v>
      </c>
      <c r="AH176" s="64">
        <f t="shared" si="36"/>
        <v>0</v>
      </c>
      <c r="AI176" s="65">
        <f t="shared" si="36"/>
        <v>0</v>
      </c>
      <c r="AJ176" s="64" t="str">
        <f t="shared" si="37"/>
        <v/>
      </c>
      <c r="AK176" s="64" t="str">
        <f t="shared" si="29"/>
        <v/>
      </c>
      <c r="AL176" s="66"/>
      <c r="AM176" s="66"/>
    </row>
    <row r="177" spans="1:39" s="67" customFormat="1" ht="24" hidden="1" customHeight="1" x14ac:dyDescent="0.15">
      <c r="A177" s="146">
        <v>164</v>
      </c>
      <c r="B177" s="121"/>
      <c r="C177" s="121"/>
      <c r="D177" s="133"/>
      <c r="E177" s="104"/>
      <c r="F177" s="104"/>
      <c r="G177" s="508"/>
      <c r="H177" s="513"/>
      <c r="I177" s="351"/>
      <c r="J177" s="511"/>
      <c r="K177" s="511"/>
      <c r="L177" s="121"/>
      <c r="M177" s="121"/>
      <c r="N177" s="339"/>
      <c r="O177" s="339"/>
      <c r="P177" s="123"/>
      <c r="Q177" s="123"/>
      <c r="R177" s="123"/>
      <c r="S177" s="206"/>
      <c r="T177" s="64" t="s">
        <v>45</v>
      </c>
      <c r="U177" s="64">
        <f>COUNTIF(D174:D193,"대")</f>
        <v>0</v>
      </c>
      <c r="V177" s="65">
        <f>COUNTIF(I174:I193,"대")</f>
        <v>0</v>
      </c>
      <c r="W177" s="64" t="s">
        <v>26</v>
      </c>
      <c r="X177" s="64">
        <f>SUMIF(D174:D193,"대",F174:F193)</f>
        <v>0</v>
      </c>
      <c r="Y177" s="65">
        <f>SUMIF(I174:I193,"대",K174:K193)</f>
        <v>0</v>
      </c>
      <c r="Z177" s="10">
        <f>COUNTIF(AJ174:AJ193,"대국")+COUNTIF(AJ174:AJ193,"대공")</f>
        <v>0</v>
      </c>
      <c r="AA177" s="42">
        <f>COUNTIF(AK174:AK193,"대국")+COUNTIF(AK174:AK193,"대공")</f>
        <v>0</v>
      </c>
      <c r="AB177" s="10" t="s">
        <v>26</v>
      </c>
      <c r="AC177" s="10">
        <f>SUMIF(AJ174:AJ193,"대국",F174:F193)+SUMIF(AJ174:AJ193,"대공",F174:F193)</f>
        <v>0</v>
      </c>
      <c r="AD177" s="42">
        <f>SUMIF(AK174:AK193,"대국",K174:K193)+SUMIF(AK174:AK193,"대공",K174:K193)</f>
        <v>0</v>
      </c>
      <c r="AE177" s="64">
        <f t="shared" si="35"/>
        <v>0</v>
      </c>
      <c r="AF177" s="65">
        <f t="shared" si="35"/>
        <v>0</v>
      </c>
      <c r="AG177" s="64" t="s">
        <v>26</v>
      </c>
      <c r="AH177" s="64">
        <f t="shared" si="36"/>
        <v>0</v>
      </c>
      <c r="AI177" s="65">
        <f t="shared" si="36"/>
        <v>0</v>
      </c>
      <c r="AJ177" s="64" t="str">
        <f t="shared" si="37"/>
        <v/>
      </c>
      <c r="AK177" s="64" t="str">
        <f t="shared" si="29"/>
        <v/>
      </c>
      <c r="AL177" s="66"/>
      <c r="AM177" s="66"/>
    </row>
    <row r="178" spans="1:39" s="67" customFormat="1" ht="24" hidden="1" customHeight="1" x14ac:dyDescent="0.15">
      <c r="A178" s="146">
        <v>165</v>
      </c>
      <c r="B178" s="121"/>
      <c r="C178" s="561"/>
      <c r="D178" s="121"/>
      <c r="E178" s="104"/>
      <c r="F178" s="343"/>
      <c r="G178" s="508"/>
      <c r="H178" s="514"/>
      <c r="I178" s="351"/>
      <c r="J178" s="511"/>
      <c r="K178" s="511"/>
      <c r="L178" s="322"/>
      <c r="M178" s="322"/>
      <c r="N178" s="435"/>
      <c r="O178" s="435"/>
      <c r="P178" s="123"/>
      <c r="Q178" s="123"/>
      <c r="R178" s="123"/>
      <c r="S178" s="206"/>
      <c r="T178" s="64" t="s">
        <v>31</v>
      </c>
      <c r="U178" s="64">
        <f>COUNTIF(D174:D193,"도")</f>
        <v>0</v>
      </c>
      <c r="V178" s="65">
        <f>COUNTIF(I174:I193,"도")</f>
        <v>0</v>
      </c>
      <c r="W178" s="64" t="s">
        <v>26</v>
      </c>
      <c r="X178" s="64">
        <f>SUMIF(D174:D193,"도",F174:F193)</f>
        <v>0</v>
      </c>
      <c r="Y178" s="65">
        <f>SUMIF(I174:I193,"도",K174:K193)</f>
        <v>0</v>
      </c>
      <c r="Z178" s="10">
        <f>COUNTIF(AJ174:AJ193,"도국")+COUNTIF(AJ174:AJ193,"도공")</f>
        <v>0</v>
      </c>
      <c r="AA178" s="42">
        <f>COUNTIF(AK174:AK193,"도국")+COUNTIF(AK174:AK193,"도공")</f>
        <v>0</v>
      </c>
      <c r="AB178" s="10" t="s">
        <v>26</v>
      </c>
      <c r="AC178" s="10">
        <f>SUMIF(AJ174:AJ193,"도국",F174:F193)+SUMIF(AJ174:AJ193,"도공",F174:F193)</f>
        <v>0</v>
      </c>
      <c r="AD178" s="42">
        <f>SUMIF(AK174:AK193,"도국",K174:K193)+SUMIF(AK174:AK193,"도공",K174:K193)</f>
        <v>0</v>
      </c>
      <c r="AE178" s="64">
        <f t="shared" si="35"/>
        <v>0</v>
      </c>
      <c r="AF178" s="65">
        <f t="shared" si="35"/>
        <v>0</v>
      </c>
      <c r="AG178" s="64" t="s">
        <v>26</v>
      </c>
      <c r="AH178" s="64">
        <f t="shared" si="36"/>
        <v>0</v>
      </c>
      <c r="AI178" s="65">
        <f t="shared" si="36"/>
        <v>0</v>
      </c>
      <c r="AJ178" s="64" t="str">
        <f t="shared" si="37"/>
        <v/>
      </c>
      <c r="AK178" s="64" t="str">
        <f t="shared" si="29"/>
        <v/>
      </c>
      <c r="AL178" s="66"/>
      <c r="AM178" s="66"/>
    </row>
    <row r="179" spans="1:39" s="67" customFormat="1" ht="24" hidden="1" customHeight="1" x14ac:dyDescent="0.15">
      <c r="A179" s="146">
        <v>166</v>
      </c>
      <c r="B179" s="121"/>
      <c r="C179" s="121"/>
      <c r="D179" s="121"/>
      <c r="E179" s="104"/>
      <c r="F179" s="343"/>
      <c r="G179" s="508"/>
      <c r="H179" s="351"/>
      <c r="I179" s="351"/>
      <c r="J179" s="511"/>
      <c r="K179" s="511"/>
      <c r="L179" s="322"/>
      <c r="M179" s="322"/>
      <c r="N179" s="435"/>
      <c r="O179" s="435"/>
      <c r="P179" s="123"/>
      <c r="Q179" s="123"/>
      <c r="R179" s="123"/>
      <c r="S179" s="206"/>
      <c r="T179" s="64" t="s">
        <v>32</v>
      </c>
      <c r="U179" s="68">
        <f>COUNTIF(D174:D193,"천")</f>
        <v>0</v>
      </c>
      <c r="V179" s="69">
        <f>COUNTIF(I174:I193,"천")</f>
        <v>0</v>
      </c>
      <c r="W179" s="64" t="s">
        <v>26</v>
      </c>
      <c r="X179" s="64">
        <f>SUMIF(D174:D193,"천",F174:F193)</f>
        <v>0</v>
      </c>
      <c r="Y179" s="65">
        <f>SUMIF(I174:I193,"천",K174:K193)</f>
        <v>0</v>
      </c>
      <c r="Z179" s="10">
        <f>COUNTIF(AJ174:AJ193,"천국")+COUNTIF(AJ174:AJ193,"천공")</f>
        <v>0</v>
      </c>
      <c r="AA179" s="42">
        <f>COUNTIF(AK174:AK193,"천국")+COUNTIF(AK174:AK193,"천공")</f>
        <v>0</v>
      </c>
      <c r="AB179" s="10" t="s">
        <v>26</v>
      </c>
      <c r="AC179" s="10">
        <f>SUMIF(AJ174:AJ193,"천국",F174:F193)+SUMIF(AJ174:AJ193,"천공",F174:F193)</f>
        <v>0</v>
      </c>
      <c r="AD179" s="42">
        <f>SUMIF(AK174:AK193,"천국",K174:K193)+SUMIF(AK174:AK193,"천공",K174:K193)</f>
        <v>0</v>
      </c>
      <c r="AE179" s="64">
        <f t="shared" si="35"/>
        <v>0</v>
      </c>
      <c r="AF179" s="65">
        <f t="shared" si="35"/>
        <v>0</v>
      </c>
      <c r="AG179" s="64" t="s">
        <v>26</v>
      </c>
      <c r="AH179" s="64">
        <f t="shared" si="36"/>
        <v>0</v>
      </c>
      <c r="AI179" s="65">
        <f t="shared" si="36"/>
        <v>0</v>
      </c>
      <c r="AJ179" s="64" t="str">
        <f t="shared" si="37"/>
        <v/>
      </c>
      <c r="AK179" s="64" t="str">
        <f t="shared" si="29"/>
        <v/>
      </c>
      <c r="AL179" s="66"/>
      <c r="AM179" s="66"/>
    </row>
    <row r="180" spans="1:39" s="67" customFormat="1" ht="24" hidden="1" customHeight="1" x14ac:dyDescent="0.15">
      <c r="A180" s="146">
        <v>167</v>
      </c>
      <c r="B180" s="121"/>
      <c r="C180" s="121"/>
      <c r="D180" s="121"/>
      <c r="E180" s="104"/>
      <c r="F180" s="343"/>
      <c r="G180" s="508"/>
      <c r="H180" s="351"/>
      <c r="I180" s="351"/>
      <c r="J180" s="511"/>
      <c r="K180" s="511"/>
      <c r="L180" s="322"/>
      <c r="M180" s="322"/>
      <c r="N180" s="435"/>
      <c r="O180" s="435"/>
      <c r="P180" s="123"/>
      <c r="Q180" s="565"/>
      <c r="R180" s="123"/>
      <c r="S180" s="206"/>
      <c r="T180" s="64" t="s">
        <v>33</v>
      </c>
      <c r="U180" s="64">
        <f>COUNTIF(D174:D193,"구")</f>
        <v>0</v>
      </c>
      <c r="V180" s="65">
        <f>COUNTIF(I174:I193,"구")</f>
        <v>0</v>
      </c>
      <c r="W180" s="64" t="s">
        <v>26</v>
      </c>
      <c r="X180" s="64">
        <f>SUMIF(D174:D193,"구",F174:F193)</f>
        <v>0</v>
      </c>
      <c r="Y180" s="65">
        <f>SUMIF(I174:I193,"구",K174:K193)</f>
        <v>0</v>
      </c>
      <c r="Z180" s="10">
        <f>COUNTIF(AJ174:AJ193,"구국")+COUNTIF(AJ174:AJ193,"구공")</f>
        <v>0</v>
      </c>
      <c r="AA180" s="42">
        <f>COUNTIF(AK174:AK193,"구국")+COUNTIF(AK174:AK193,"구공")</f>
        <v>0</v>
      </c>
      <c r="AB180" s="10" t="s">
        <v>26</v>
      </c>
      <c r="AC180" s="10">
        <f>SUMIF(AJ174:AJ193,"구국",F174:F193)+SUMIF(AJ174:AJ193,"구공",F174:F193)</f>
        <v>0</v>
      </c>
      <c r="AD180" s="42">
        <f>SUMIF(AK174:AK193,"구국",K174:K193)+SUMIF(AK174:AK193,"구공",K174:K193)</f>
        <v>0</v>
      </c>
      <c r="AE180" s="64">
        <f t="shared" si="35"/>
        <v>0</v>
      </c>
      <c r="AF180" s="65">
        <f t="shared" si="35"/>
        <v>0</v>
      </c>
      <c r="AG180" s="64" t="s">
        <v>26</v>
      </c>
      <c r="AH180" s="64">
        <f t="shared" si="36"/>
        <v>0</v>
      </c>
      <c r="AI180" s="65">
        <f t="shared" si="36"/>
        <v>0</v>
      </c>
      <c r="AJ180" s="64" t="str">
        <f t="shared" si="37"/>
        <v/>
      </c>
      <c r="AK180" s="64" t="str">
        <f t="shared" si="29"/>
        <v/>
      </c>
      <c r="AL180" s="66"/>
      <c r="AM180" s="66"/>
    </row>
    <row r="181" spans="1:39" s="67" customFormat="1" ht="24" hidden="1" customHeight="1" x14ac:dyDescent="0.15">
      <c r="A181" s="146">
        <v>168</v>
      </c>
      <c r="B181" s="121"/>
      <c r="C181" s="121"/>
      <c r="D181" s="121"/>
      <c r="E181" s="104"/>
      <c r="F181" s="104"/>
      <c r="G181" s="508"/>
      <c r="H181" s="351"/>
      <c r="I181" s="351"/>
      <c r="J181" s="511"/>
      <c r="K181" s="511"/>
      <c r="L181" s="322"/>
      <c r="M181" s="121"/>
      <c r="N181" s="435"/>
      <c r="O181" s="435"/>
      <c r="P181" s="123"/>
      <c r="Q181" s="123"/>
      <c r="R181" s="123"/>
      <c r="S181" s="206"/>
      <c r="T181" s="64" t="s">
        <v>34</v>
      </c>
      <c r="U181" s="64">
        <f>COUNTIF(D174:D193,"제")</f>
        <v>0</v>
      </c>
      <c r="V181" s="65">
        <f>COUNTIF(I174:I193,"제")</f>
        <v>0</v>
      </c>
      <c r="W181" s="64" t="s">
        <v>26</v>
      </c>
      <c r="X181" s="64">
        <f>SUMIF(D174:D193,"제",F174:F193)</f>
        <v>0</v>
      </c>
      <c r="Y181" s="65">
        <f>SUMIF(I174:I193,"제",K174:K193)</f>
        <v>0</v>
      </c>
      <c r="Z181" s="10">
        <f>COUNTIF(AJ174:AJ193,"제국")+COUNTIF(AJ174:AJ193,"제공")</f>
        <v>0</v>
      </c>
      <c r="AA181" s="42">
        <f>COUNTIF(AK174:AK193,"제국")+COUNTIF(AK174:AK193,"제공")</f>
        <v>0</v>
      </c>
      <c r="AB181" s="10" t="s">
        <v>26</v>
      </c>
      <c r="AC181" s="10">
        <f>SUMIF(AJ174:AJ193,"제국",F174:F193)+SUMIF(AJ174:AJ193,"제공",F174:F193)</f>
        <v>0</v>
      </c>
      <c r="AD181" s="42">
        <f>SUMIF(AK174:AK193,"제국",K174:K193)+SUMIF(AK174:AK193,"제공",K174:K193)</f>
        <v>0</v>
      </c>
      <c r="AE181" s="64">
        <f t="shared" si="35"/>
        <v>0</v>
      </c>
      <c r="AF181" s="65">
        <f t="shared" si="35"/>
        <v>0</v>
      </c>
      <c r="AG181" s="64" t="s">
        <v>26</v>
      </c>
      <c r="AH181" s="64">
        <f t="shared" si="36"/>
        <v>0</v>
      </c>
      <c r="AI181" s="65">
        <f t="shared" si="36"/>
        <v>0</v>
      </c>
      <c r="AJ181" s="64" t="str">
        <f t="shared" si="37"/>
        <v/>
      </c>
      <c r="AK181" s="64" t="str">
        <f t="shared" si="29"/>
        <v/>
      </c>
      <c r="AL181" s="66"/>
      <c r="AM181" s="66"/>
    </row>
    <row r="182" spans="1:39" s="67" customFormat="1" ht="24" hidden="1" customHeight="1" x14ac:dyDescent="0.15">
      <c r="A182" s="146">
        <v>169</v>
      </c>
      <c r="B182" s="121"/>
      <c r="C182" s="592"/>
      <c r="D182" s="360"/>
      <c r="E182" s="376"/>
      <c r="F182" s="343"/>
      <c r="G182" s="585"/>
      <c r="H182" s="593"/>
      <c r="I182" s="584"/>
      <c r="J182" s="594"/>
      <c r="K182" s="594"/>
      <c r="L182" s="588"/>
      <c r="M182" s="360"/>
      <c r="N182" s="595"/>
      <c r="O182" s="595"/>
      <c r="P182" s="123"/>
      <c r="Q182" s="123"/>
      <c r="R182" s="123"/>
      <c r="S182" s="206"/>
      <c r="T182" s="64" t="s">
        <v>46</v>
      </c>
      <c r="U182" s="64">
        <f>COUNTIF(D174:D193,"유")</f>
        <v>0</v>
      </c>
      <c r="V182" s="65">
        <f>COUNTIF(I174:I193,"유")</f>
        <v>0</v>
      </c>
      <c r="W182" s="64" t="s">
        <v>26</v>
      </c>
      <c r="X182" s="64">
        <f>SUMIF(D174:D193,"유",F174:F193)</f>
        <v>0</v>
      </c>
      <c r="Y182" s="65">
        <f>SUMIF(I174:I193,"유",K174:K193)</f>
        <v>0</v>
      </c>
      <c r="Z182" s="10">
        <f>COUNTIF(AJ174:AJ193,"유국")+COUNTIF(AJ174:AJ193,"유공")</f>
        <v>0</v>
      </c>
      <c r="AA182" s="42">
        <f>COUNTIF(AK174:AK193,"유국")+COUNTIF(AK174:AK193,"유공")</f>
        <v>0</v>
      </c>
      <c r="AB182" s="10" t="s">
        <v>26</v>
      </c>
      <c r="AC182" s="10">
        <f>SUMIF(AJ174:AJ193,"유국",F174:F193)+SUMIF(AJ174:AJ193,"유공",F174:F193)</f>
        <v>0</v>
      </c>
      <c r="AD182" s="42">
        <f>SUMIF(AK174:AK193,"유국",K174:K193)+SUMIF(AK174:AK193,"유공",K174:K193)</f>
        <v>0</v>
      </c>
      <c r="AE182" s="64">
        <f t="shared" si="35"/>
        <v>0</v>
      </c>
      <c r="AF182" s="65">
        <f t="shared" si="35"/>
        <v>0</v>
      </c>
      <c r="AG182" s="64" t="s">
        <v>26</v>
      </c>
      <c r="AH182" s="64">
        <f t="shared" si="36"/>
        <v>0</v>
      </c>
      <c r="AI182" s="65">
        <f t="shared" si="36"/>
        <v>0</v>
      </c>
      <c r="AJ182" s="64" t="str">
        <f t="shared" si="37"/>
        <v/>
      </c>
      <c r="AK182" s="64" t="str">
        <f t="shared" si="29"/>
        <v/>
      </c>
      <c r="AL182" s="66"/>
      <c r="AM182" s="66"/>
    </row>
    <row r="183" spans="1:39" s="67" customFormat="1" ht="24" hidden="1" customHeight="1" x14ac:dyDescent="0.15">
      <c r="A183" s="146">
        <v>170</v>
      </c>
      <c r="B183" s="121"/>
      <c r="C183" s="121"/>
      <c r="D183" s="121"/>
      <c r="E183" s="104"/>
      <c r="F183" s="104"/>
      <c r="G183" s="355"/>
      <c r="H183" s="351"/>
      <c r="I183" s="351"/>
      <c r="J183" s="511"/>
      <c r="K183" s="511"/>
      <c r="L183" s="121"/>
      <c r="M183" s="322"/>
      <c r="N183" s="339"/>
      <c r="O183" s="435"/>
      <c r="P183" s="123"/>
      <c r="Q183" s="123"/>
      <c r="R183" s="123"/>
      <c r="S183" s="206"/>
      <c r="T183" s="64" t="s">
        <v>47</v>
      </c>
      <c r="U183" s="64">
        <f>COUNTIF(D174:D193,"과")</f>
        <v>0</v>
      </c>
      <c r="V183" s="65">
        <f>COUNTIF(I174:I193,"과")</f>
        <v>0</v>
      </c>
      <c r="W183" s="64" t="s">
        <v>26</v>
      </c>
      <c r="X183" s="64">
        <f>SUMIF(D174:D193,"과",F174:F193)</f>
        <v>0</v>
      </c>
      <c r="Y183" s="65">
        <f>SUMIF(I174:I193,"과",K174:K193)</f>
        <v>0</v>
      </c>
      <c r="Z183" s="10">
        <f>COUNTIF(AJ174:AJ193,"과국")+COUNTIF(AJ174:AJ193,"과공")</f>
        <v>0</v>
      </c>
      <c r="AA183" s="42">
        <f>COUNTIF(AK174:AK193,"과국")+COUNTIF(AK174:AK193,"과공")</f>
        <v>0</v>
      </c>
      <c r="AB183" s="10" t="s">
        <v>26</v>
      </c>
      <c r="AC183" s="10">
        <f>SUMIF(AJ174:AJ193,"과국",F174:F193)+SUMIF(AJ174:AJ193,"과공",F174:F193)</f>
        <v>0</v>
      </c>
      <c r="AD183" s="42">
        <f>SUMIF(AK174:AK193,"과국",K174:K193)+SUMIF(AK174:AK193,"과공",K174:K193)</f>
        <v>0</v>
      </c>
      <c r="AE183" s="64">
        <f t="shared" si="35"/>
        <v>0</v>
      </c>
      <c r="AF183" s="65">
        <f t="shared" si="35"/>
        <v>0</v>
      </c>
      <c r="AG183" s="64" t="s">
        <v>26</v>
      </c>
      <c r="AH183" s="64">
        <f t="shared" si="36"/>
        <v>0</v>
      </c>
      <c r="AI183" s="65">
        <f t="shared" si="36"/>
        <v>0</v>
      </c>
      <c r="AJ183" s="64" t="str">
        <f t="shared" si="37"/>
        <v/>
      </c>
      <c r="AK183" s="64" t="str">
        <f t="shared" si="29"/>
        <v/>
      </c>
      <c r="AL183" s="66"/>
      <c r="AM183" s="66"/>
    </row>
    <row r="184" spans="1:39" s="67" customFormat="1" ht="24" hidden="1" customHeight="1" x14ac:dyDescent="0.15">
      <c r="A184" s="146">
        <v>171</v>
      </c>
      <c r="B184" s="121"/>
      <c r="C184" s="562"/>
      <c r="D184" s="121"/>
      <c r="E184" s="104"/>
      <c r="F184" s="343"/>
      <c r="G184" s="355"/>
      <c r="H184" s="512"/>
      <c r="I184" s="351"/>
      <c r="J184" s="511"/>
      <c r="K184" s="511"/>
      <c r="L184" s="121"/>
      <c r="M184" s="322"/>
      <c r="N184" s="339"/>
      <c r="O184" s="435"/>
      <c r="P184" s="123"/>
      <c r="Q184" s="123"/>
      <c r="R184" s="123"/>
      <c r="S184" s="206"/>
      <c r="T184" s="64" t="s">
        <v>36</v>
      </c>
      <c r="U184" s="64">
        <f>COUNTIF(D174:D193,"묘")</f>
        <v>0</v>
      </c>
      <c r="V184" s="65">
        <f>COUNTIF(I174:I193,"묘")</f>
        <v>0</v>
      </c>
      <c r="W184" s="64" t="s">
        <v>26</v>
      </c>
      <c r="X184" s="64">
        <f>SUMIF(D174:D193,"묘",F174:F193)</f>
        <v>0</v>
      </c>
      <c r="Y184" s="65">
        <f>SUMIF(I174:I193,"묘",K174:K193)</f>
        <v>0</v>
      </c>
      <c r="Z184" s="10">
        <f>COUNTIF(AJ174:AJ193,"묘국")+COUNTIF(AJ174:AJ193,"묘공")</f>
        <v>0</v>
      </c>
      <c r="AA184" s="42">
        <f>COUNTIF(AK174:AK193,"묘국")+COUNTIF(AK174:AK193,"묘공")</f>
        <v>0</v>
      </c>
      <c r="AB184" s="10" t="s">
        <v>26</v>
      </c>
      <c r="AC184" s="10">
        <f>SUMIF(AJ174:AJ193,"묘국",F174:F193)+SUMIF(AJ174:AJ193,"묘공",F174:F193)</f>
        <v>0</v>
      </c>
      <c r="AD184" s="42">
        <f>SUMIF(AK174:AK193,"묘국",K174:K193)+SUMIF(AK174:AK193,"묘공",K174:K193)</f>
        <v>0</v>
      </c>
      <c r="AE184" s="64">
        <f t="shared" si="35"/>
        <v>0</v>
      </c>
      <c r="AF184" s="65">
        <f t="shared" si="35"/>
        <v>0</v>
      </c>
      <c r="AG184" s="64" t="s">
        <v>26</v>
      </c>
      <c r="AH184" s="64">
        <f t="shared" si="36"/>
        <v>0</v>
      </c>
      <c r="AI184" s="65">
        <f t="shared" si="36"/>
        <v>0</v>
      </c>
      <c r="AJ184" s="64" t="str">
        <f t="shared" si="37"/>
        <v/>
      </c>
      <c r="AK184" s="64" t="str">
        <f t="shared" si="29"/>
        <v/>
      </c>
      <c r="AL184" s="66"/>
      <c r="AM184" s="66"/>
    </row>
    <row r="185" spans="1:39" s="67" customFormat="1" ht="24" hidden="1" customHeight="1" x14ac:dyDescent="0.15">
      <c r="A185" s="146">
        <v>172</v>
      </c>
      <c r="B185" s="121"/>
      <c r="C185" s="340"/>
      <c r="D185" s="121"/>
      <c r="E185" s="104"/>
      <c r="F185" s="343"/>
      <c r="G185" s="355"/>
      <c r="H185" s="512"/>
      <c r="I185" s="351"/>
      <c r="J185" s="511"/>
      <c r="K185" s="511"/>
      <c r="L185" s="121"/>
      <c r="M185" s="322"/>
      <c r="N185" s="339"/>
      <c r="O185" s="435"/>
      <c r="P185" s="123"/>
      <c r="Q185" s="123"/>
      <c r="R185" s="123"/>
      <c r="S185" s="206"/>
      <c r="T185" s="64" t="s">
        <v>39</v>
      </c>
      <c r="U185" s="64">
        <f>COUNTIF(D174:D193,"수")</f>
        <v>0</v>
      </c>
      <c r="V185" s="65">
        <f>COUNTIF(I174:I193,"수")</f>
        <v>0</v>
      </c>
      <c r="W185" s="64" t="s">
        <v>26</v>
      </c>
      <c r="X185" s="64">
        <f>SUMIF(D174:D193,"수",F174:F193)</f>
        <v>0</v>
      </c>
      <c r="Y185" s="65">
        <f>SUMIF(I174:I193,"수",K174:K193)</f>
        <v>0</v>
      </c>
      <c r="Z185" s="10">
        <f>COUNTIF(AJ174:AJ193,"수국")+COUNTIF(AJ174:AJ193,"수공")</f>
        <v>0</v>
      </c>
      <c r="AA185" s="42">
        <f>COUNTIF(AK174:AK193,"수국")+COUNTIF(AK174:AK193,"수공")</f>
        <v>0</v>
      </c>
      <c r="AB185" s="10" t="s">
        <v>26</v>
      </c>
      <c r="AC185" s="10">
        <f>SUMIF(AJ174:AJ193,"수국",F174:F193)+SUMIF(AJ174:AJ193,"수공",F174:F193)</f>
        <v>0</v>
      </c>
      <c r="AD185" s="42">
        <f>SUMIF(AK174:AK193,"수국",K174:K193)+SUMIF(AK174:AK193,"수공",K174:K193)</f>
        <v>0</v>
      </c>
      <c r="AE185" s="64">
        <f t="shared" si="35"/>
        <v>0</v>
      </c>
      <c r="AF185" s="65">
        <f t="shared" si="35"/>
        <v>0</v>
      </c>
      <c r="AG185" s="64" t="s">
        <v>26</v>
      </c>
      <c r="AH185" s="64">
        <f t="shared" si="36"/>
        <v>0</v>
      </c>
      <c r="AI185" s="65">
        <f t="shared" si="36"/>
        <v>0</v>
      </c>
      <c r="AJ185" s="64" t="str">
        <f t="shared" si="37"/>
        <v/>
      </c>
      <c r="AK185" s="64" t="str">
        <f t="shared" si="29"/>
        <v/>
      </c>
      <c r="AL185" s="66"/>
      <c r="AM185" s="66"/>
    </row>
    <row r="186" spans="1:39" s="67" customFormat="1" ht="24" hidden="1" customHeight="1" x14ac:dyDescent="0.15">
      <c r="A186" s="146">
        <v>173</v>
      </c>
      <c r="B186" s="121"/>
      <c r="C186" s="340"/>
      <c r="D186" s="121"/>
      <c r="E186" s="104"/>
      <c r="F186" s="104"/>
      <c r="G186" s="355"/>
      <c r="H186" s="512"/>
      <c r="I186" s="351"/>
      <c r="J186" s="511"/>
      <c r="K186" s="511"/>
      <c r="L186" s="322"/>
      <c r="M186" s="322"/>
      <c r="N186" s="435"/>
      <c r="O186" s="435"/>
      <c r="P186" s="123"/>
      <c r="Q186" s="123"/>
      <c r="R186" s="123"/>
      <c r="S186" s="206"/>
      <c r="T186" s="64" t="s">
        <v>35</v>
      </c>
      <c r="U186" s="64">
        <f>COUNTIF(D174:D193,"잡")</f>
        <v>0</v>
      </c>
      <c r="V186" s="65">
        <f>COUNTIF(I174:I193,"잡")</f>
        <v>0</v>
      </c>
      <c r="W186" s="64" t="s">
        <v>26</v>
      </c>
      <c r="X186" s="64">
        <f>SUMIF(D174:D193,"잡",F174:F193)</f>
        <v>0</v>
      </c>
      <c r="Y186" s="65">
        <f>SUMIF(I174:I193,"잡",K174:K193)</f>
        <v>0</v>
      </c>
      <c r="Z186" s="10">
        <f>COUNTIF(AJ174:AJ193,"잡국")+COUNTIF(AJ174:AJ193,"잡공")</f>
        <v>0</v>
      </c>
      <c r="AA186" s="42">
        <f>COUNTIF(AK174:AK193,"잡국")+COUNTIF(AK174:AK193,"잡공")</f>
        <v>0</v>
      </c>
      <c r="AB186" s="10" t="s">
        <v>26</v>
      </c>
      <c r="AC186" s="10">
        <f>SUMIF(AJ174:AJ193,"잡국",F174:F193)+SUMIF(AJ174:AJ193,"잡공",F174:F193)</f>
        <v>0</v>
      </c>
      <c r="AD186" s="42">
        <f>SUMIF(AK174:AK193,"잡국",K174:K193)+SUMIF(AK174:AK193,"잡공",K174:K193)</f>
        <v>0</v>
      </c>
      <c r="AE186" s="64">
        <f t="shared" si="35"/>
        <v>0</v>
      </c>
      <c r="AF186" s="65">
        <f t="shared" si="35"/>
        <v>0</v>
      </c>
      <c r="AG186" s="64" t="s">
        <v>26</v>
      </c>
      <c r="AH186" s="64">
        <f t="shared" si="36"/>
        <v>0</v>
      </c>
      <c r="AI186" s="65">
        <f t="shared" si="36"/>
        <v>0</v>
      </c>
      <c r="AJ186" s="64" t="str">
        <f t="shared" si="37"/>
        <v/>
      </c>
      <c r="AK186" s="64" t="str">
        <f t="shared" si="29"/>
        <v/>
      </c>
      <c r="AL186" s="66"/>
      <c r="AM186" s="66"/>
    </row>
    <row r="187" spans="1:39" s="67" customFormat="1" ht="24" hidden="1" customHeight="1" x14ac:dyDescent="0.15">
      <c r="A187" s="146">
        <v>174</v>
      </c>
      <c r="B187" s="121"/>
      <c r="C187" s="121"/>
      <c r="D187" s="121"/>
      <c r="E187" s="104"/>
      <c r="F187" s="104"/>
      <c r="G187" s="355"/>
      <c r="H187" s="351"/>
      <c r="I187" s="351"/>
      <c r="J187" s="511"/>
      <c r="K187" s="511"/>
      <c r="L187" s="121"/>
      <c r="M187" s="322"/>
      <c r="N187" s="339"/>
      <c r="O187" s="435"/>
      <c r="P187" s="123"/>
      <c r="Q187" s="123"/>
      <c r="R187" s="123"/>
      <c r="S187" s="206"/>
      <c r="T187" s="64" t="s">
        <v>51</v>
      </c>
      <c r="U187" s="64">
        <f>COUNTIF(D174:D193,"체")</f>
        <v>0</v>
      </c>
      <c r="V187" s="65">
        <f>COUNTIF(I174:I193,"체")</f>
        <v>0</v>
      </c>
      <c r="W187" s="64" t="s">
        <v>26</v>
      </c>
      <c r="X187" s="64">
        <f>SUMIF(D174:D193,"체",F174:F193)</f>
        <v>0</v>
      </c>
      <c r="Y187" s="65">
        <f>SUMIF(I174:I193,"체",K174:K193)</f>
        <v>0</v>
      </c>
      <c r="Z187" s="10">
        <f>COUNTIF(AJ174:AJ193,"체국")+COUNTIF(AJ174:AJ193,"체공")</f>
        <v>0</v>
      </c>
      <c r="AA187" s="42">
        <f>COUNTIF(AK174:AK193,"체국")+COUNTIF(AK174:AK193,"체공")</f>
        <v>0</v>
      </c>
      <c r="AB187" s="10" t="s">
        <v>26</v>
      </c>
      <c r="AC187" s="10">
        <f>SUMIF(AJ174:AJ193,"체국",F174:F193)+SUMIF(AJ174:AJ193,"체공",F174:F193)</f>
        <v>0</v>
      </c>
      <c r="AD187" s="42">
        <f>SUMIF(AK174:AK193,"체국",K174:K193)+SUMIF(AK174:AK193,"체공",K174:K193)</f>
        <v>0</v>
      </c>
      <c r="AE187" s="64">
        <f t="shared" si="35"/>
        <v>0</v>
      </c>
      <c r="AF187" s="65">
        <f t="shared" si="35"/>
        <v>0</v>
      </c>
      <c r="AG187" s="64" t="s">
        <v>26</v>
      </c>
      <c r="AH187" s="64">
        <f t="shared" si="36"/>
        <v>0</v>
      </c>
      <c r="AI187" s="65">
        <f t="shared" si="36"/>
        <v>0</v>
      </c>
      <c r="AJ187" s="64" t="str">
        <f t="shared" si="37"/>
        <v/>
      </c>
      <c r="AK187" s="64" t="str">
        <f t="shared" si="29"/>
        <v/>
      </c>
      <c r="AL187" s="66"/>
      <c r="AM187" s="66"/>
    </row>
    <row r="188" spans="1:39" s="67" customFormat="1" ht="24" hidden="1" customHeight="1" x14ac:dyDescent="0.15">
      <c r="A188" s="146">
        <v>175</v>
      </c>
      <c r="B188" s="121"/>
      <c r="C188" s="121"/>
      <c r="D188" s="121"/>
      <c r="E188" s="104"/>
      <c r="F188" s="104"/>
      <c r="G188" s="355"/>
      <c r="H188" s="351"/>
      <c r="I188" s="351"/>
      <c r="J188" s="511"/>
      <c r="K188" s="511"/>
      <c r="L188" s="121"/>
      <c r="M188" s="322"/>
      <c r="N188" s="339"/>
      <c r="O188" s="435"/>
      <c r="P188" s="123"/>
      <c r="Q188" s="123"/>
      <c r="R188" s="123"/>
      <c r="S188" s="206"/>
      <c r="T188" s="64" t="s">
        <v>50</v>
      </c>
      <c r="U188" s="64">
        <f>COUNTIF(D174:D193,"공")</f>
        <v>0</v>
      </c>
      <c r="V188" s="65">
        <f>COUNTIF(I174:I193,"공")</f>
        <v>0</v>
      </c>
      <c r="W188" s="64" t="s">
        <v>26</v>
      </c>
      <c r="X188" s="64">
        <f>SUMIF(D174:D193,"공",F174:F193)</f>
        <v>0</v>
      </c>
      <c r="Y188" s="65">
        <f>SUMIF(I174:I193,"공",K174:K193)</f>
        <v>0</v>
      </c>
      <c r="Z188" s="10">
        <f>COUNTIF(AJ174:AJ193,"공국")+COUNTIF(AJ174:AJ193,"공공")</f>
        <v>0</v>
      </c>
      <c r="AA188" s="42">
        <f>COUNTIF(AK174:AK193,"공국")+COUNTIF(AK174:AK193,"공공")</f>
        <v>0</v>
      </c>
      <c r="AB188" s="10" t="s">
        <v>26</v>
      </c>
      <c r="AC188" s="10">
        <f>SUMIF(AJ174:AJ193,"공국",F174:F193)+SUMIF(AJ174:AJ193,"공공",F174:F193)</f>
        <v>0</v>
      </c>
      <c r="AD188" s="42">
        <f>SUMIF(AK174:AK193,"공국",K174:K193)+SUMIF(AK174:AK193,"공공",K174:K193)</f>
        <v>0</v>
      </c>
      <c r="AE188" s="64">
        <f t="shared" si="35"/>
        <v>0</v>
      </c>
      <c r="AF188" s="65">
        <f t="shared" si="35"/>
        <v>0</v>
      </c>
      <c r="AG188" s="64" t="s">
        <v>26</v>
      </c>
      <c r="AH188" s="64">
        <f t="shared" si="36"/>
        <v>0</v>
      </c>
      <c r="AI188" s="65">
        <f t="shared" si="36"/>
        <v>0</v>
      </c>
      <c r="AJ188" s="64" t="str">
        <f t="shared" si="37"/>
        <v/>
      </c>
      <c r="AK188" s="64" t="str">
        <f t="shared" si="29"/>
        <v/>
      </c>
      <c r="AL188" s="66"/>
      <c r="AM188" s="66"/>
    </row>
    <row r="189" spans="1:39" s="67" customFormat="1" ht="24" hidden="1" customHeight="1" x14ac:dyDescent="0.15">
      <c r="A189" s="146">
        <v>176</v>
      </c>
      <c r="B189" s="121"/>
      <c r="C189" s="121"/>
      <c r="D189" s="133"/>
      <c r="E189" s="104"/>
      <c r="F189" s="343"/>
      <c r="G189" s="355"/>
      <c r="H189" s="351"/>
      <c r="I189" s="351"/>
      <c r="J189" s="511"/>
      <c r="K189" s="511"/>
      <c r="L189" s="121"/>
      <c r="M189" s="322"/>
      <c r="N189" s="339"/>
      <c r="O189" s="435"/>
      <c r="P189" s="322"/>
      <c r="Q189" s="322"/>
      <c r="R189" s="322"/>
      <c r="S189" s="206"/>
      <c r="T189" s="70" t="s">
        <v>40</v>
      </c>
      <c r="U189" s="64">
        <f>COUNTIF(D174:D193,"장")</f>
        <v>0</v>
      </c>
      <c r="V189" s="65">
        <f>COUNTIF(I174:I193,"장")</f>
        <v>0</v>
      </c>
      <c r="W189" s="64" t="s">
        <v>26</v>
      </c>
      <c r="X189" s="64">
        <f>SUMIF(D174:D193,"장",F174:F193)</f>
        <v>0</v>
      </c>
      <c r="Y189" s="65">
        <f>SUMIF(I174:I193,"장",K174:K193)</f>
        <v>0</v>
      </c>
      <c r="Z189" s="10">
        <f>COUNTIF(AJ174:AJ193,"장국")+COUNTIF(AJ174:AJ193,"장공")</f>
        <v>0</v>
      </c>
      <c r="AA189" s="42">
        <f>COUNTIF(AK174:AK193,"장국")+COUNTIF(AK174:AK193,"장공")</f>
        <v>0</v>
      </c>
      <c r="AB189" s="10" t="s">
        <v>26</v>
      </c>
      <c r="AC189" s="10">
        <f>SUMIF(AJ174:AJ193,"장국",F174:F193)+SUMIF(AJ174:AJ193,"장공",F174:F193)</f>
        <v>0</v>
      </c>
      <c r="AD189" s="42">
        <f>SUMIF(AK174:AK193,"장국",K174:K193)+SUMIF(AK174:AK193,"장공",K174:K193)</f>
        <v>0</v>
      </c>
      <c r="AE189" s="64">
        <f t="shared" si="35"/>
        <v>0</v>
      </c>
      <c r="AF189" s="65">
        <f t="shared" si="35"/>
        <v>0</v>
      </c>
      <c r="AG189" s="64" t="s">
        <v>26</v>
      </c>
      <c r="AH189" s="64">
        <f t="shared" si="36"/>
        <v>0</v>
      </c>
      <c r="AI189" s="65">
        <f t="shared" si="36"/>
        <v>0</v>
      </c>
      <c r="AJ189" s="64" t="str">
        <f t="shared" si="37"/>
        <v/>
      </c>
      <c r="AK189" s="64" t="str">
        <f t="shared" si="29"/>
        <v/>
      </c>
      <c r="AL189" s="66"/>
      <c r="AM189" s="66"/>
    </row>
    <row r="190" spans="1:39" s="67" customFormat="1" ht="24" hidden="1" customHeight="1" x14ac:dyDescent="0.15">
      <c r="A190" s="146">
        <v>177</v>
      </c>
      <c r="B190" s="121"/>
      <c r="C190" s="121"/>
      <c r="D190" s="121"/>
      <c r="E190" s="104"/>
      <c r="F190" s="343"/>
      <c r="G190" s="355"/>
      <c r="H190" s="351"/>
      <c r="I190" s="351"/>
      <c r="J190" s="511"/>
      <c r="K190" s="511"/>
      <c r="L190" s="121"/>
      <c r="M190" s="322"/>
      <c r="N190" s="339"/>
      <c r="O190" s="435"/>
      <c r="P190" s="322"/>
      <c r="Q190" s="322"/>
      <c r="R190" s="322"/>
      <c r="S190" s="206"/>
      <c r="T190" s="70" t="s">
        <v>5</v>
      </c>
      <c r="U190" s="64">
        <f>COUNTIF(D174:D193,"목")</f>
        <v>0</v>
      </c>
      <c r="V190" s="65">
        <f>COUNTIF(I174:I193,"목")</f>
        <v>0</v>
      </c>
      <c r="W190" s="64" t="s">
        <v>26</v>
      </c>
      <c r="X190" s="64">
        <f>SUMIF(D174:D193,"목",F174:F193)</f>
        <v>0</v>
      </c>
      <c r="Y190" s="65">
        <f>SUMIF(I174:I193,"목",K174:K193)</f>
        <v>0</v>
      </c>
      <c r="Z190" s="10">
        <f>COUNTIF(AJ174:AJ193,"목국")+COUNTIF(AJ174:AJ193,"목공")</f>
        <v>0</v>
      </c>
      <c r="AA190" s="42">
        <f>COUNTIF(AK174:AK193,"목국")+COUNTIF(AK174:AK193,"목공")</f>
        <v>0</v>
      </c>
      <c r="AB190" s="10" t="s">
        <v>26</v>
      </c>
      <c r="AC190" s="10">
        <f>SUMIF(AJ174:AJ193,"목국",F174:F193)+SUMIF(AJ174:AJ193,"목공",F174:F193)</f>
        <v>0</v>
      </c>
      <c r="AD190" s="42">
        <f>SUMIF(AK174:AK193,"목국",K174:K193)+SUMIF(AK174:AK193,"목공",K174:K193)</f>
        <v>0</v>
      </c>
      <c r="AE190" s="64">
        <f t="shared" si="35"/>
        <v>0</v>
      </c>
      <c r="AF190" s="65">
        <f t="shared" si="35"/>
        <v>0</v>
      </c>
      <c r="AG190" s="64" t="s">
        <v>26</v>
      </c>
      <c r="AH190" s="64">
        <f t="shared" si="36"/>
        <v>0</v>
      </c>
      <c r="AI190" s="65">
        <f t="shared" si="36"/>
        <v>0</v>
      </c>
      <c r="AJ190" s="64" t="str">
        <f t="shared" si="37"/>
        <v/>
      </c>
      <c r="AK190" s="64" t="str">
        <f t="shared" si="29"/>
        <v/>
      </c>
      <c r="AL190" s="66"/>
      <c r="AM190" s="66"/>
    </row>
    <row r="191" spans="1:39" s="67" customFormat="1" ht="24" hidden="1" customHeight="1" x14ac:dyDescent="0.15">
      <c r="A191" s="146">
        <v>178</v>
      </c>
      <c r="B191" s="121"/>
      <c r="C191" s="121"/>
      <c r="D191" s="121"/>
      <c r="E191" s="104"/>
      <c r="F191" s="343"/>
      <c r="G191" s="355"/>
      <c r="H191" s="351"/>
      <c r="I191" s="351"/>
      <c r="J191" s="511"/>
      <c r="K191" s="511"/>
      <c r="L191" s="121"/>
      <c r="M191" s="322"/>
      <c r="N191" s="339"/>
      <c r="O191" s="435"/>
      <c r="P191" s="322"/>
      <c r="Q191" s="322"/>
      <c r="R191" s="322"/>
      <c r="S191" s="206"/>
      <c r="T191" s="70"/>
      <c r="U191" s="70"/>
      <c r="V191" s="71"/>
      <c r="W191" s="70"/>
      <c r="X191" s="70"/>
      <c r="Y191" s="71"/>
      <c r="Z191" s="10"/>
      <c r="AA191" s="42"/>
      <c r="AB191" s="11"/>
      <c r="AC191" s="10"/>
      <c r="AD191" s="42"/>
      <c r="AE191" s="70"/>
      <c r="AF191" s="71"/>
      <c r="AG191" s="70"/>
      <c r="AH191" s="70"/>
      <c r="AI191" s="71"/>
      <c r="AJ191" s="64" t="str">
        <f t="shared" si="37"/>
        <v/>
      </c>
      <c r="AK191" s="64" t="str">
        <f t="shared" si="29"/>
        <v/>
      </c>
      <c r="AL191" s="66"/>
      <c r="AM191" s="66"/>
    </row>
    <row r="192" spans="1:39" s="67" customFormat="1" ht="24" hidden="1" customHeight="1" x14ac:dyDescent="0.15">
      <c r="A192" s="146">
        <v>179</v>
      </c>
      <c r="B192" s="121"/>
      <c r="C192" s="121"/>
      <c r="D192" s="121"/>
      <c r="E192" s="104"/>
      <c r="F192" s="343"/>
      <c r="G192" s="355"/>
      <c r="H192" s="351"/>
      <c r="I192" s="351"/>
      <c r="J192" s="511"/>
      <c r="K192" s="511"/>
      <c r="L192" s="121"/>
      <c r="M192" s="322"/>
      <c r="N192" s="339"/>
      <c r="O192" s="435"/>
      <c r="P192" s="322"/>
      <c r="Q192" s="322"/>
      <c r="R192" s="322"/>
      <c r="S192" s="206"/>
      <c r="T192" s="70"/>
      <c r="U192" s="70"/>
      <c r="V192" s="71"/>
      <c r="W192" s="70"/>
      <c r="X192" s="70"/>
      <c r="Y192" s="71"/>
      <c r="Z192" s="10"/>
      <c r="AA192" s="42"/>
      <c r="AB192" s="11"/>
      <c r="AC192" s="10"/>
      <c r="AD192" s="42"/>
      <c r="AE192" s="70"/>
      <c r="AF192" s="71"/>
      <c r="AG192" s="70"/>
      <c r="AH192" s="70"/>
      <c r="AI192" s="71"/>
      <c r="AJ192" s="64" t="str">
        <f t="shared" si="37"/>
        <v/>
      </c>
      <c r="AK192" s="64" t="str">
        <f t="shared" si="29"/>
        <v/>
      </c>
      <c r="AL192" s="66"/>
      <c r="AM192" s="66"/>
    </row>
    <row r="193" spans="1:39" s="67" customFormat="1" ht="24" hidden="1" customHeight="1" x14ac:dyDescent="0.15">
      <c r="A193" s="146">
        <v>180</v>
      </c>
      <c r="B193" s="121"/>
      <c r="C193" s="121"/>
      <c r="D193" s="121"/>
      <c r="E193" s="104"/>
      <c r="F193" s="343"/>
      <c r="G193" s="355"/>
      <c r="H193" s="351"/>
      <c r="I193" s="351"/>
      <c r="J193" s="511"/>
      <c r="K193" s="511"/>
      <c r="L193" s="121"/>
      <c r="M193" s="322"/>
      <c r="N193" s="339"/>
      <c r="O193" s="435"/>
      <c r="P193" s="322"/>
      <c r="Q193" s="322"/>
      <c r="R193" s="322"/>
      <c r="S193" s="264"/>
      <c r="T193" s="72" t="s">
        <v>37</v>
      </c>
      <c r="U193" s="72">
        <f>COUNTIF(D174:D193,"철")</f>
        <v>0</v>
      </c>
      <c r="V193" s="73">
        <f>COUNTIF(I174:I193,"철")</f>
        <v>0</v>
      </c>
      <c r="W193" s="72" t="s">
        <v>26</v>
      </c>
      <c r="X193" s="72">
        <f>SUMIF(D174:D193,"철",F174:F193)</f>
        <v>0</v>
      </c>
      <c r="Y193" s="73">
        <f>SUMIF(I174:I193,"철",K174:K193)</f>
        <v>0</v>
      </c>
      <c r="Z193" s="10">
        <f>COUNTIF(AJ174:AJ193,"철국")+COUNTIF(AJ174:AJ193,"철공")</f>
        <v>0</v>
      </c>
      <c r="AA193" s="42">
        <f>COUNTIF(AK174:AK193,"철국")+COUNTIF(AK174:AK193,"철공")</f>
        <v>0</v>
      </c>
      <c r="AB193" s="12" t="s">
        <v>26</v>
      </c>
      <c r="AC193" s="10">
        <f>SUMIF(AJ174:AJ193,"철국",F174:F193)+SUMIF(AJ174:AJ193,"철공",F174:F193)</f>
        <v>0</v>
      </c>
      <c r="AD193" s="42">
        <f>SUMIF(AK174:AK193,"철국",K174:K193)+SUMIF(AK174:AK193,"철공",K174:K193)</f>
        <v>0</v>
      </c>
      <c r="AE193" s="72"/>
      <c r="AF193" s="73"/>
      <c r="AG193" s="72"/>
      <c r="AH193" s="72"/>
      <c r="AI193" s="73"/>
      <c r="AJ193" s="64" t="str">
        <f t="shared" si="37"/>
        <v/>
      </c>
      <c r="AK193" s="64" t="str">
        <f t="shared" si="29"/>
        <v/>
      </c>
      <c r="AL193" s="66"/>
      <c r="AM193" s="66"/>
    </row>
    <row r="194" spans="1:39" s="57" customFormat="1" ht="24" hidden="1" customHeight="1" thickBot="1" x14ac:dyDescent="0.2">
      <c r="A194" s="1112" t="s">
        <v>48</v>
      </c>
      <c r="B194" s="1113"/>
      <c r="C194" s="1113"/>
      <c r="D194" s="1113"/>
      <c r="E194" s="1113"/>
      <c r="F194" s="149">
        <f>SUM(F174:F193)</f>
        <v>0</v>
      </c>
      <c r="G194" s="496"/>
      <c r="H194" s="496"/>
      <c r="I194" s="497"/>
      <c r="J194" s="552"/>
      <c r="K194" s="529">
        <f>SUM(K174:K193)</f>
        <v>0</v>
      </c>
      <c r="L194" s="150"/>
      <c r="M194" s="150"/>
      <c r="N194" s="432"/>
      <c r="O194" s="432"/>
      <c r="P194" s="150"/>
      <c r="Q194" s="150"/>
      <c r="R194" s="150"/>
      <c r="S194" s="151"/>
      <c r="T194" s="62" t="s">
        <v>24</v>
      </c>
      <c r="U194" s="63">
        <f t="shared" ref="U194:AA194" si="38">SUM(U174:U193)</f>
        <v>0</v>
      </c>
      <c r="V194" s="63">
        <f t="shared" si="38"/>
        <v>0</v>
      </c>
      <c r="W194" s="63">
        <f t="shared" si="38"/>
        <v>0</v>
      </c>
      <c r="X194" s="63">
        <f t="shared" si="38"/>
        <v>0</v>
      </c>
      <c r="Y194" s="63">
        <f t="shared" si="38"/>
        <v>0</v>
      </c>
      <c r="Z194" s="37">
        <f t="shared" si="38"/>
        <v>0</v>
      </c>
      <c r="AA194" s="43">
        <f t="shared" si="38"/>
        <v>0</v>
      </c>
      <c r="AB194" s="37" t="s">
        <v>26</v>
      </c>
      <c r="AC194" s="37">
        <f>SUM(AC174:AC193)</f>
        <v>0</v>
      </c>
      <c r="AD194" s="43">
        <f>SUM(AD174:AD193)</f>
        <v>0</v>
      </c>
      <c r="AE194" s="63">
        <f>SUM(AE174:AE193)</f>
        <v>0</v>
      </c>
      <c r="AF194" s="63">
        <f>SUM(AF174:AF193)</f>
        <v>0</v>
      </c>
      <c r="AG194" s="63" t="s">
        <v>26</v>
      </c>
      <c r="AH194" s="63">
        <f>SUM(AH174:AH193)</f>
        <v>0</v>
      </c>
      <c r="AI194" s="63">
        <f>SUM(AI174:AI193)</f>
        <v>0</v>
      </c>
      <c r="AJ194" s="63"/>
      <c r="AK194" s="64" t="str">
        <f t="shared" si="29"/>
        <v/>
      </c>
    </row>
    <row r="195" spans="1:39" s="67" customFormat="1" ht="24" hidden="1" customHeight="1" x14ac:dyDescent="0.15">
      <c r="A195" s="139">
        <v>181</v>
      </c>
      <c r="B195" s="536"/>
      <c r="C195" s="215"/>
      <c r="D195" s="215"/>
      <c r="E195" s="537"/>
      <c r="F195" s="636"/>
      <c r="G195" s="551"/>
      <c r="H195" s="549"/>
      <c r="I195" s="549"/>
      <c r="J195" s="550"/>
      <c r="K195" s="550"/>
      <c r="L195" s="215"/>
      <c r="M195" s="387"/>
      <c r="N195" s="392"/>
      <c r="O195" s="456"/>
      <c r="P195" s="387"/>
      <c r="Q195" s="387"/>
      <c r="R195" s="387"/>
      <c r="S195" s="285"/>
      <c r="T195" s="64" t="s">
        <v>27</v>
      </c>
      <c r="U195" s="64">
        <f>COUNTIF(D195:D214,"전")</f>
        <v>0</v>
      </c>
      <c r="V195" s="65">
        <f>COUNTIF(I195:I214,"전")</f>
        <v>0</v>
      </c>
      <c r="W195" s="64" t="s">
        <v>26</v>
      </c>
      <c r="X195" s="64">
        <f>SUMIF(D195:D214,"전",F195:F214)</f>
        <v>0</v>
      </c>
      <c r="Y195" s="65">
        <f>SUMIF(I195:I214,"전",K195:K214)</f>
        <v>0</v>
      </c>
      <c r="Z195" s="10">
        <f>COUNTIF(AJ195:AJ214,"전국")+COUNTIF(AJ195:AJ214,"전공")</f>
        <v>0</v>
      </c>
      <c r="AA195" s="42">
        <f>COUNTIF(AK195:AK214,"전국")+COUNTIF(AK195:AK214,"전공")</f>
        <v>0</v>
      </c>
      <c r="AB195" s="10" t="s">
        <v>26</v>
      </c>
      <c r="AC195" s="10">
        <f>SUMIF(AJ195:AJ214,"전국",F195:F214)+SUMIF(AJ195:AJ214,"전공",F195:F214)</f>
        <v>0</v>
      </c>
      <c r="AD195" s="42">
        <f>SUMIF(AK195:AK214,"전국",K195:K214)+SUMIF(AK195:AK214,"전공",K195:K214)</f>
        <v>0</v>
      </c>
      <c r="AE195" s="64">
        <f t="shared" ref="AE195:AF211" si="39">U195-Z195</f>
        <v>0</v>
      </c>
      <c r="AF195" s="65">
        <f t="shared" si="39"/>
        <v>0</v>
      </c>
      <c r="AG195" s="64" t="s">
        <v>26</v>
      </c>
      <c r="AH195" s="64">
        <f t="shared" ref="AH195:AI211" si="40">X195-AC195</f>
        <v>0</v>
      </c>
      <c r="AI195" s="65">
        <f t="shared" si="40"/>
        <v>0</v>
      </c>
      <c r="AJ195" s="64" t="str">
        <f t="shared" ref="AJ195:AJ214" si="41">CONCATENATE(D195,L195)</f>
        <v/>
      </c>
      <c r="AK195" s="64" t="str">
        <f t="shared" si="29"/>
        <v/>
      </c>
      <c r="AL195" s="66"/>
      <c r="AM195" s="66"/>
    </row>
    <row r="196" spans="1:39" s="67" customFormat="1" ht="24" hidden="1" customHeight="1" x14ac:dyDescent="0.15">
      <c r="A196" s="146">
        <v>182</v>
      </c>
      <c r="B196" s="121"/>
      <c r="C196" s="121"/>
      <c r="D196" s="121"/>
      <c r="E196" s="104"/>
      <c r="F196" s="343"/>
      <c r="G196" s="355"/>
      <c r="H196" s="351"/>
      <c r="I196" s="351"/>
      <c r="J196" s="511"/>
      <c r="K196" s="511"/>
      <c r="L196" s="322"/>
      <c r="M196" s="322"/>
      <c r="N196" s="435"/>
      <c r="O196" s="435"/>
      <c r="P196" s="322"/>
      <c r="Q196" s="322"/>
      <c r="R196" s="322"/>
      <c r="S196" s="264"/>
      <c r="T196" s="64" t="s">
        <v>28</v>
      </c>
      <c r="U196" s="64">
        <f>COUNTIF(D195:D214,"답")</f>
        <v>0</v>
      </c>
      <c r="V196" s="65">
        <f>COUNTIF(I195:I214,"답")</f>
        <v>0</v>
      </c>
      <c r="W196" s="64" t="s">
        <v>26</v>
      </c>
      <c r="X196" s="64">
        <f>SUMIF(D195:D214,"답",F195:F214)</f>
        <v>0</v>
      </c>
      <c r="Y196" s="65">
        <f>SUMIF(I195:I214,"답",K195:K214)</f>
        <v>0</v>
      </c>
      <c r="Z196" s="10">
        <f>COUNTIF(AJ195:AJ214,"답국")+COUNTIF(AJ195:AJ214,"답공")</f>
        <v>0</v>
      </c>
      <c r="AA196" s="42">
        <f>COUNTIF(AK195:AK214,"답국")+COUNTIF(AK195:AK214,"답공")</f>
        <v>0</v>
      </c>
      <c r="AB196" s="10" t="s">
        <v>26</v>
      </c>
      <c r="AC196" s="10">
        <f>SUMIF(AJ195:AJ214,"답국",F195:F214)+SUMIF(AJ195:AJ214,"답공",F195:F214)</f>
        <v>0</v>
      </c>
      <c r="AD196" s="42">
        <f>SUMIF(AK195:AK214,"답국",K195:K214)+SUMIF(AK195:AK214,"답공",K195:K214)</f>
        <v>0</v>
      </c>
      <c r="AE196" s="64">
        <f t="shared" si="39"/>
        <v>0</v>
      </c>
      <c r="AF196" s="65">
        <f t="shared" si="39"/>
        <v>0</v>
      </c>
      <c r="AG196" s="64" t="s">
        <v>26</v>
      </c>
      <c r="AH196" s="64">
        <f t="shared" si="40"/>
        <v>0</v>
      </c>
      <c r="AI196" s="65">
        <f t="shared" si="40"/>
        <v>0</v>
      </c>
      <c r="AJ196" s="64" t="str">
        <f t="shared" si="41"/>
        <v/>
      </c>
      <c r="AK196" s="64" t="str">
        <f t="shared" si="29"/>
        <v/>
      </c>
      <c r="AL196" s="66"/>
      <c r="AM196" s="66"/>
    </row>
    <row r="197" spans="1:39" s="67" customFormat="1" ht="24" hidden="1" customHeight="1" x14ac:dyDescent="0.15">
      <c r="A197" s="146">
        <v>183</v>
      </c>
      <c r="B197" s="121"/>
      <c r="C197" s="635"/>
      <c r="D197" s="121"/>
      <c r="E197" s="104"/>
      <c r="F197" s="343"/>
      <c r="G197" s="355"/>
      <c r="H197" s="512"/>
      <c r="I197" s="351"/>
      <c r="J197" s="511"/>
      <c r="K197" s="511"/>
      <c r="L197" s="322"/>
      <c r="M197" s="322"/>
      <c r="N197" s="435"/>
      <c r="O197" s="435"/>
      <c r="P197" s="322"/>
      <c r="Q197" s="322"/>
      <c r="R197" s="322"/>
      <c r="S197" s="264"/>
      <c r="T197" s="64" t="s">
        <v>44</v>
      </c>
      <c r="U197" s="64">
        <f>COUNTIF(D195:D214,"임")</f>
        <v>0</v>
      </c>
      <c r="V197" s="65">
        <f>COUNTIF(I195:I214,"임")</f>
        <v>0</v>
      </c>
      <c r="W197" s="64" t="s">
        <v>26</v>
      </c>
      <c r="X197" s="64">
        <f>SUMIF(D195:D214,"임",F195:F214)</f>
        <v>0</v>
      </c>
      <c r="Y197" s="65">
        <f>SUMIF(I195:I214,"임",K195:K214)</f>
        <v>0</v>
      </c>
      <c r="Z197" s="10">
        <f>COUNTIF(AJ195:AJ214,"임국")+COUNTIF(AJ195:AJ214,"임공")</f>
        <v>0</v>
      </c>
      <c r="AA197" s="42">
        <f>COUNTIF(AK195:AK214,"임국")+COUNTIF(AK195:AK214,"임공")</f>
        <v>0</v>
      </c>
      <c r="AB197" s="10" t="s">
        <v>26</v>
      </c>
      <c r="AC197" s="10">
        <f>SUMIF(AJ195:AJ214,"임국",F195:F214)+SUMIF(AJ195:AJ214,"임공",F195:F214)</f>
        <v>0</v>
      </c>
      <c r="AD197" s="42">
        <f>SUMIF(AK195:AK214,"임국",K195:K214)+SUMIF(AK195:AK214,"임공",K195:K214)</f>
        <v>0</v>
      </c>
      <c r="AE197" s="64">
        <f t="shared" si="39"/>
        <v>0</v>
      </c>
      <c r="AF197" s="65">
        <f t="shared" si="39"/>
        <v>0</v>
      </c>
      <c r="AG197" s="64" t="s">
        <v>26</v>
      </c>
      <c r="AH197" s="64">
        <f t="shared" si="40"/>
        <v>0</v>
      </c>
      <c r="AI197" s="65">
        <f t="shared" si="40"/>
        <v>0</v>
      </c>
      <c r="AJ197" s="64" t="str">
        <f t="shared" si="41"/>
        <v/>
      </c>
      <c r="AK197" s="64" t="str">
        <f t="shared" si="29"/>
        <v/>
      </c>
      <c r="AL197" s="66"/>
      <c r="AM197" s="66"/>
    </row>
    <row r="198" spans="1:39" s="67" customFormat="1" ht="24" hidden="1" customHeight="1" x14ac:dyDescent="0.15">
      <c r="A198" s="146">
        <v>184</v>
      </c>
      <c r="B198" s="121"/>
      <c r="C198" s="121"/>
      <c r="D198" s="121"/>
      <c r="E198" s="104"/>
      <c r="F198" s="343"/>
      <c r="G198" s="352"/>
      <c r="H198" s="351"/>
      <c r="I198" s="351"/>
      <c r="J198" s="511"/>
      <c r="K198" s="511"/>
      <c r="L198" s="121"/>
      <c r="M198" s="469"/>
      <c r="N198" s="339"/>
      <c r="O198" s="435"/>
      <c r="P198" s="322"/>
      <c r="Q198" s="322"/>
      <c r="R198" s="322"/>
      <c r="S198" s="264"/>
      <c r="T198" s="64" t="s">
        <v>45</v>
      </c>
      <c r="U198" s="64">
        <f>COUNTIF(D195:D214,"대")</f>
        <v>0</v>
      </c>
      <c r="V198" s="65">
        <f>COUNTIF(I195:I214,"대")</f>
        <v>0</v>
      </c>
      <c r="W198" s="64" t="s">
        <v>26</v>
      </c>
      <c r="X198" s="64">
        <f>SUMIF(D195:D214,"대",F195:F214)</f>
        <v>0</v>
      </c>
      <c r="Y198" s="65">
        <f>SUMIF(I195:I214,"대",K195:K214)</f>
        <v>0</v>
      </c>
      <c r="Z198" s="10">
        <f>COUNTIF(AJ195:AJ214,"대국")+COUNTIF(AJ195:AJ214,"대공")</f>
        <v>0</v>
      </c>
      <c r="AA198" s="42">
        <f>COUNTIF(AK195:AK214,"대국")+COUNTIF(AK195:AK214,"대공")</f>
        <v>0</v>
      </c>
      <c r="AB198" s="10" t="s">
        <v>26</v>
      </c>
      <c r="AC198" s="10">
        <f>SUMIF(AJ195:AJ214,"대국",F195:F214)+SUMIF(AJ195:AJ214,"대공",F195:F214)</f>
        <v>0</v>
      </c>
      <c r="AD198" s="42">
        <f>SUMIF(AK195:AK214,"대국",K195:K214)+SUMIF(AK195:AK214,"대공",K195:K214)</f>
        <v>0</v>
      </c>
      <c r="AE198" s="64">
        <f t="shared" si="39"/>
        <v>0</v>
      </c>
      <c r="AF198" s="65">
        <f t="shared" si="39"/>
        <v>0</v>
      </c>
      <c r="AG198" s="64" t="s">
        <v>26</v>
      </c>
      <c r="AH198" s="64">
        <f t="shared" si="40"/>
        <v>0</v>
      </c>
      <c r="AI198" s="65">
        <f t="shared" si="40"/>
        <v>0</v>
      </c>
      <c r="AJ198" s="64" t="str">
        <f t="shared" si="41"/>
        <v/>
      </c>
      <c r="AK198" s="64" t="str">
        <f t="shared" si="29"/>
        <v/>
      </c>
      <c r="AL198" s="66"/>
      <c r="AM198" s="66"/>
    </row>
    <row r="199" spans="1:39" s="67" customFormat="1" ht="24" hidden="1" customHeight="1" x14ac:dyDescent="0.15">
      <c r="A199" s="146">
        <v>185</v>
      </c>
      <c r="B199" s="121"/>
      <c r="C199" s="121"/>
      <c r="D199" s="121"/>
      <c r="E199" s="104"/>
      <c r="F199" s="343"/>
      <c r="G199" s="352"/>
      <c r="H199" s="351"/>
      <c r="I199" s="351"/>
      <c r="J199" s="511"/>
      <c r="K199" s="511"/>
      <c r="L199" s="322"/>
      <c r="M199" s="322"/>
      <c r="N199" s="339"/>
      <c r="O199" s="435"/>
      <c r="P199" s="322"/>
      <c r="Q199" s="322"/>
      <c r="R199" s="322"/>
      <c r="S199" s="264"/>
      <c r="T199" s="64" t="s">
        <v>31</v>
      </c>
      <c r="U199" s="64">
        <f>COUNTIF(D195:D214,"도")</f>
        <v>0</v>
      </c>
      <c r="V199" s="65">
        <f>COUNTIF(I195:I214,"도")</f>
        <v>0</v>
      </c>
      <c r="W199" s="64" t="s">
        <v>26</v>
      </c>
      <c r="X199" s="64">
        <f>SUMIF(D195:D214,"도",F195:F214)</f>
        <v>0</v>
      </c>
      <c r="Y199" s="65">
        <f>SUMIF(I195:I214,"도",K195:K214)</f>
        <v>0</v>
      </c>
      <c r="Z199" s="10">
        <f>COUNTIF(AJ195:AJ214,"도국")+COUNTIF(AJ195:AJ214,"도공")</f>
        <v>0</v>
      </c>
      <c r="AA199" s="42">
        <f>COUNTIF(AK195:AK214,"도국")+COUNTIF(AK195:AK214,"도공")</f>
        <v>0</v>
      </c>
      <c r="AB199" s="10" t="s">
        <v>26</v>
      </c>
      <c r="AC199" s="10">
        <f>SUMIF(AJ195:AJ214,"도국",F195:F214)+SUMIF(AJ195:AJ214,"도공",F195:F214)</f>
        <v>0</v>
      </c>
      <c r="AD199" s="42">
        <f>SUMIF(AK195:AK214,"도국",K195:K214)+SUMIF(AK195:AK214,"도공",K195:K214)</f>
        <v>0</v>
      </c>
      <c r="AE199" s="64">
        <f t="shared" si="39"/>
        <v>0</v>
      </c>
      <c r="AF199" s="65">
        <f t="shared" si="39"/>
        <v>0</v>
      </c>
      <c r="AG199" s="64" t="s">
        <v>26</v>
      </c>
      <c r="AH199" s="64">
        <f t="shared" si="40"/>
        <v>0</v>
      </c>
      <c r="AI199" s="65">
        <f t="shared" si="40"/>
        <v>0</v>
      </c>
      <c r="AJ199" s="64" t="str">
        <f t="shared" si="41"/>
        <v/>
      </c>
      <c r="AK199" s="64" t="str">
        <f t="shared" ref="AK199:AK215" si="42">CONCATENATE(I199,N199)</f>
        <v/>
      </c>
      <c r="AL199" s="66"/>
      <c r="AM199" s="66"/>
    </row>
    <row r="200" spans="1:39" s="67" customFormat="1" ht="24" hidden="1" customHeight="1" x14ac:dyDescent="0.15">
      <c r="A200" s="146">
        <v>186</v>
      </c>
      <c r="B200" s="121"/>
      <c r="C200" s="121"/>
      <c r="D200" s="121"/>
      <c r="E200" s="104"/>
      <c r="F200" s="343"/>
      <c r="G200" s="352"/>
      <c r="H200" s="351"/>
      <c r="I200" s="351"/>
      <c r="J200" s="511"/>
      <c r="K200" s="511"/>
      <c r="L200" s="322"/>
      <c r="M200" s="469"/>
      <c r="N200" s="339"/>
      <c r="O200" s="435"/>
      <c r="P200" s="322"/>
      <c r="Q200" s="322"/>
      <c r="R200" s="322"/>
      <c r="S200" s="264"/>
      <c r="T200" s="64" t="s">
        <v>32</v>
      </c>
      <c r="U200" s="68">
        <f>COUNTIF(D195:D214,"천")</f>
        <v>0</v>
      </c>
      <c r="V200" s="69">
        <f>COUNTIF(I195:I214,"천")</f>
        <v>0</v>
      </c>
      <c r="W200" s="64" t="s">
        <v>26</v>
      </c>
      <c r="X200" s="64">
        <f>SUMIF(D195:D214,"천",F195:F214)</f>
        <v>0</v>
      </c>
      <c r="Y200" s="65">
        <f>SUMIF(I195:I214,"천",K195:K214)</f>
        <v>0</v>
      </c>
      <c r="Z200" s="10">
        <f>COUNTIF(AJ195:AJ214,"천국")+COUNTIF(AJ195:AJ214,"천공")</f>
        <v>0</v>
      </c>
      <c r="AA200" s="42">
        <f>COUNTIF(AK195:AK214,"천국")+COUNTIF(AK195:AK214,"천공")</f>
        <v>0</v>
      </c>
      <c r="AB200" s="10" t="s">
        <v>26</v>
      </c>
      <c r="AC200" s="10">
        <f>SUMIF(AJ195:AJ214,"천국",F195:F214)+SUMIF(AJ195:AJ214,"천공",F195:F214)</f>
        <v>0</v>
      </c>
      <c r="AD200" s="42">
        <f>SUMIF(AK195:AK214,"천국",K195:K214)+SUMIF(AK195:AK214,"천공",K195:K214)</f>
        <v>0</v>
      </c>
      <c r="AE200" s="64">
        <f t="shared" si="39"/>
        <v>0</v>
      </c>
      <c r="AF200" s="65">
        <f t="shared" si="39"/>
        <v>0</v>
      </c>
      <c r="AG200" s="64" t="s">
        <v>26</v>
      </c>
      <c r="AH200" s="64">
        <f t="shared" si="40"/>
        <v>0</v>
      </c>
      <c r="AI200" s="65">
        <f t="shared" si="40"/>
        <v>0</v>
      </c>
      <c r="AJ200" s="64" t="str">
        <f t="shared" si="41"/>
        <v/>
      </c>
      <c r="AK200" s="64" t="str">
        <f t="shared" si="42"/>
        <v/>
      </c>
      <c r="AL200" s="66"/>
      <c r="AM200" s="66"/>
    </row>
    <row r="201" spans="1:39" s="67" customFormat="1" ht="24" hidden="1" customHeight="1" x14ac:dyDescent="0.15">
      <c r="A201" s="146">
        <v>187</v>
      </c>
      <c r="B201" s="121"/>
      <c r="C201" s="121"/>
      <c r="D201" s="121"/>
      <c r="E201" s="104"/>
      <c r="F201" s="343"/>
      <c r="G201" s="356"/>
      <c r="H201" s="351"/>
      <c r="I201" s="351"/>
      <c r="J201" s="511"/>
      <c r="K201" s="511"/>
      <c r="L201" s="322"/>
      <c r="M201" s="322"/>
      <c r="N201" s="339"/>
      <c r="O201" s="435"/>
      <c r="P201" s="322"/>
      <c r="Q201" s="322"/>
      <c r="R201" s="322"/>
      <c r="S201" s="264"/>
      <c r="T201" s="64" t="s">
        <v>33</v>
      </c>
      <c r="U201" s="64">
        <f>COUNTIF(D195:D214,"구")</f>
        <v>0</v>
      </c>
      <c r="V201" s="65">
        <f>COUNTIF(I195:I214,"구")</f>
        <v>0</v>
      </c>
      <c r="W201" s="64" t="s">
        <v>26</v>
      </c>
      <c r="X201" s="64">
        <f>SUMIF(D195:D214,"구",F195:F214)</f>
        <v>0</v>
      </c>
      <c r="Y201" s="65">
        <f>SUMIF(I195:I214,"구",K195:K214)</f>
        <v>0</v>
      </c>
      <c r="Z201" s="10">
        <f>COUNTIF(AJ195:AJ214,"구국")+COUNTIF(AJ195:AJ214,"구공")</f>
        <v>0</v>
      </c>
      <c r="AA201" s="42">
        <f>COUNTIF(AK195:AK214,"구국")+COUNTIF(AK195:AK214,"구공")</f>
        <v>0</v>
      </c>
      <c r="AB201" s="10" t="s">
        <v>26</v>
      </c>
      <c r="AC201" s="10">
        <f>SUMIF(AJ195:AJ214,"구국",F195:F214)+SUMIF(AJ195:AJ214,"구공",F195:F214)</f>
        <v>0</v>
      </c>
      <c r="AD201" s="42">
        <f>SUMIF(AK195:AK214,"구국",K195:K214)+SUMIF(AK195:AK214,"구공",K195:K214)</f>
        <v>0</v>
      </c>
      <c r="AE201" s="64">
        <f t="shared" si="39"/>
        <v>0</v>
      </c>
      <c r="AF201" s="65">
        <f t="shared" si="39"/>
        <v>0</v>
      </c>
      <c r="AG201" s="64" t="s">
        <v>26</v>
      </c>
      <c r="AH201" s="64">
        <f t="shared" si="40"/>
        <v>0</v>
      </c>
      <c r="AI201" s="65">
        <f t="shared" si="40"/>
        <v>0</v>
      </c>
      <c r="AJ201" s="64" t="str">
        <f t="shared" si="41"/>
        <v/>
      </c>
      <c r="AK201" s="64" t="str">
        <f t="shared" si="42"/>
        <v/>
      </c>
      <c r="AL201" s="66"/>
      <c r="AM201" s="66"/>
    </row>
    <row r="202" spans="1:39" s="67" customFormat="1" ht="24" hidden="1" customHeight="1" x14ac:dyDescent="0.15">
      <c r="A202" s="146">
        <v>188</v>
      </c>
      <c r="B202" s="121"/>
      <c r="C202" s="121"/>
      <c r="D202" s="121"/>
      <c r="E202" s="104"/>
      <c r="F202" s="343"/>
      <c r="G202" s="352"/>
      <c r="H202" s="351"/>
      <c r="I202" s="351"/>
      <c r="J202" s="511"/>
      <c r="K202" s="511"/>
      <c r="L202" s="322"/>
      <c r="M202" s="322"/>
      <c r="N202" s="339"/>
      <c r="O202" s="435"/>
      <c r="P202" s="106"/>
      <c r="Q202" s="106"/>
      <c r="R202" s="106"/>
      <c r="S202" s="264"/>
      <c r="T202" s="64" t="s">
        <v>34</v>
      </c>
      <c r="U202" s="64">
        <f>COUNTIF(D195:D214,"제")</f>
        <v>0</v>
      </c>
      <c r="V202" s="65">
        <f>COUNTIF(I195:I214,"제")</f>
        <v>0</v>
      </c>
      <c r="W202" s="64" t="s">
        <v>26</v>
      </c>
      <c r="X202" s="64">
        <f>SUMIF(D195:D214,"제",F195:F214)</f>
        <v>0</v>
      </c>
      <c r="Y202" s="65">
        <f>SUMIF(I195:I214,"제",K195:K214)</f>
        <v>0</v>
      </c>
      <c r="Z202" s="10">
        <f>COUNTIF(AJ195:AJ214,"제국")+COUNTIF(AJ195:AJ214,"제공")</f>
        <v>0</v>
      </c>
      <c r="AA202" s="42">
        <f>COUNTIF(AK195:AK214,"제국")+COUNTIF(AK195:AK214,"제공")</f>
        <v>0</v>
      </c>
      <c r="AB202" s="10" t="s">
        <v>26</v>
      </c>
      <c r="AC202" s="10">
        <f>SUMIF(AJ195:AJ214,"제국",F195:F214)+SUMIF(AJ195:AJ214,"제공",F195:F214)</f>
        <v>0</v>
      </c>
      <c r="AD202" s="42">
        <f>SUMIF(AK195:AK214,"제국",K195:K214)+SUMIF(AK195:AK214,"제공",K195:K214)</f>
        <v>0</v>
      </c>
      <c r="AE202" s="64">
        <f t="shared" si="39"/>
        <v>0</v>
      </c>
      <c r="AF202" s="65">
        <f t="shared" si="39"/>
        <v>0</v>
      </c>
      <c r="AG202" s="64" t="s">
        <v>26</v>
      </c>
      <c r="AH202" s="64">
        <f t="shared" si="40"/>
        <v>0</v>
      </c>
      <c r="AI202" s="65">
        <f t="shared" si="40"/>
        <v>0</v>
      </c>
      <c r="AJ202" s="64" t="str">
        <f t="shared" si="41"/>
        <v/>
      </c>
      <c r="AK202" s="64" t="str">
        <f t="shared" si="42"/>
        <v/>
      </c>
      <c r="AL202" s="66"/>
      <c r="AM202" s="66"/>
    </row>
    <row r="203" spans="1:39" s="67" customFormat="1" ht="24" hidden="1" customHeight="1" x14ac:dyDescent="0.15">
      <c r="A203" s="146">
        <v>189</v>
      </c>
      <c r="B203" s="121"/>
      <c r="C203" s="581"/>
      <c r="D203" s="581"/>
      <c r="E203" s="582"/>
      <c r="F203" s="582"/>
      <c r="G203" s="583"/>
      <c r="H203" s="584"/>
      <c r="I203" s="584"/>
      <c r="J203" s="583"/>
      <c r="K203" s="585"/>
      <c r="L203" s="586"/>
      <c r="M203" s="591"/>
      <c r="N203" s="587"/>
      <c r="O203" s="587"/>
      <c r="P203" s="322"/>
      <c r="Q203" s="322"/>
      <c r="R203" s="322"/>
      <c r="S203" s="264"/>
      <c r="T203" s="64" t="s">
        <v>46</v>
      </c>
      <c r="U203" s="64">
        <f>COUNTIF(D195:D214,"유")</f>
        <v>0</v>
      </c>
      <c r="V203" s="65">
        <f>COUNTIF(I195:I214,"유")</f>
        <v>0</v>
      </c>
      <c r="W203" s="64" t="s">
        <v>26</v>
      </c>
      <c r="X203" s="64">
        <f>SUMIF(D195:D214,"유",F195:F214)</f>
        <v>0</v>
      </c>
      <c r="Y203" s="65">
        <f>SUMIF(I195:I214,"유",K195:K214)</f>
        <v>0</v>
      </c>
      <c r="Z203" s="10">
        <f>COUNTIF(AJ195:AJ214,"유국")+COUNTIF(AJ195:AJ214,"유공")</f>
        <v>0</v>
      </c>
      <c r="AA203" s="42">
        <f>COUNTIF(AK195:AK214,"유국")+COUNTIF(AK195:AK214,"유공")</f>
        <v>0</v>
      </c>
      <c r="AB203" s="10" t="s">
        <v>26</v>
      </c>
      <c r="AC203" s="10">
        <f>SUMIF(AJ195:AJ214,"유국",F195:F214)+SUMIF(AJ195:AJ214,"유공",F195:F214)</f>
        <v>0</v>
      </c>
      <c r="AD203" s="42">
        <f>SUMIF(AK195:AK214,"유국",K195:K214)+SUMIF(AK195:AK214,"유공",K195:K214)</f>
        <v>0</v>
      </c>
      <c r="AE203" s="64">
        <f t="shared" si="39"/>
        <v>0</v>
      </c>
      <c r="AF203" s="65">
        <f t="shared" si="39"/>
        <v>0</v>
      </c>
      <c r="AG203" s="64" t="s">
        <v>26</v>
      </c>
      <c r="AH203" s="64">
        <f t="shared" si="40"/>
        <v>0</v>
      </c>
      <c r="AI203" s="65">
        <f t="shared" si="40"/>
        <v>0</v>
      </c>
      <c r="AJ203" s="64" t="str">
        <f t="shared" si="41"/>
        <v/>
      </c>
      <c r="AK203" s="64" t="str">
        <f t="shared" si="42"/>
        <v/>
      </c>
      <c r="AL203" s="66"/>
      <c r="AM203" s="66"/>
    </row>
    <row r="204" spans="1:39" s="67" customFormat="1" ht="24" hidden="1" customHeight="1" x14ac:dyDescent="0.15">
      <c r="A204" s="146">
        <v>190</v>
      </c>
      <c r="B204" s="121"/>
      <c r="C204" s="419"/>
      <c r="D204" s="419"/>
      <c r="E204" s="464"/>
      <c r="F204" s="464"/>
      <c r="G204" s="352"/>
      <c r="H204" s="351"/>
      <c r="I204" s="351"/>
      <c r="J204" s="352"/>
      <c r="K204" s="355"/>
      <c r="L204" s="420"/>
      <c r="M204" s="420"/>
      <c r="N204" s="528"/>
      <c r="O204" s="528"/>
      <c r="P204" s="322"/>
      <c r="Q204" s="322"/>
      <c r="R204" s="322"/>
      <c r="S204" s="264"/>
      <c r="T204" s="64" t="s">
        <v>47</v>
      </c>
      <c r="U204" s="64">
        <f>COUNTIF(D195:D214,"과")</f>
        <v>0</v>
      </c>
      <c r="V204" s="65">
        <f>COUNTIF(I195:I214,"과")</f>
        <v>0</v>
      </c>
      <c r="W204" s="64" t="s">
        <v>26</v>
      </c>
      <c r="X204" s="64">
        <f>SUMIF(D195:D214,"과",F195:F214)</f>
        <v>0</v>
      </c>
      <c r="Y204" s="65">
        <f>SUMIF(I195:I214,"과",K195:K214)</f>
        <v>0</v>
      </c>
      <c r="Z204" s="10">
        <f>COUNTIF(AJ195:AJ214,"과국")+COUNTIF(AJ195:AJ214,"과공")</f>
        <v>0</v>
      </c>
      <c r="AA204" s="42">
        <f>COUNTIF(AK195:AK214,"과국")+COUNTIF(AK195:AK214,"과공")</f>
        <v>0</v>
      </c>
      <c r="AB204" s="10" t="s">
        <v>26</v>
      </c>
      <c r="AC204" s="10">
        <f>SUMIF(AJ195:AJ214,"과국",F195:F214)+SUMIF(AJ195:AJ214,"과공",F195:F214)</f>
        <v>0</v>
      </c>
      <c r="AD204" s="42">
        <f>SUMIF(AK195:AK214,"과국",K195:K214)+SUMIF(AK195:AK214,"과공",K195:K214)</f>
        <v>0</v>
      </c>
      <c r="AE204" s="64">
        <f t="shared" si="39"/>
        <v>0</v>
      </c>
      <c r="AF204" s="65">
        <f t="shared" si="39"/>
        <v>0</v>
      </c>
      <c r="AG204" s="64" t="s">
        <v>26</v>
      </c>
      <c r="AH204" s="64">
        <f t="shared" si="40"/>
        <v>0</v>
      </c>
      <c r="AI204" s="65">
        <f t="shared" si="40"/>
        <v>0</v>
      </c>
      <c r="AJ204" s="64" t="str">
        <f t="shared" si="41"/>
        <v/>
      </c>
      <c r="AK204" s="64" t="str">
        <f t="shared" si="42"/>
        <v/>
      </c>
      <c r="AL204" s="66"/>
      <c r="AM204" s="66"/>
    </row>
    <row r="205" spans="1:39" s="67" customFormat="1" ht="24" hidden="1" customHeight="1" x14ac:dyDescent="0.15">
      <c r="A205" s="146">
        <v>191</v>
      </c>
      <c r="B205" s="121"/>
      <c r="C205" s="421"/>
      <c r="D205" s="419"/>
      <c r="E205" s="465"/>
      <c r="F205" s="465"/>
      <c r="G205" s="352"/>
      <c r="H205" s="351"/>
      <c r="I205" s="351"/>
      <c r="J205" s="352"/>
      <c r="K205" s="355"/>
      <c r="L205" s="420"/>
      <c r="M205" s="420"/>
      <c r="N205" s="528"/>
      <c r="O205" s="567"/>
      <c r="P205" s="322"/>
      <c r="Q205" s="322"/>
      <c r="R205" s="322"/>
      <c r="S205" s="264"/>
      <c r="T205" s="64" t="s">
        <v>36</v>
      </c>
      <c r="U205" s="64">
        <f>COUNTIF(D195:D214,"묘")</f>
        <v>0</v>
      </c>
      <c r="V205" s="65">
        <f>COUNTIF(I195:I214,"묘")</f>
        <v>0</v>
      </c>
      <c r="W205" s="64" t="s">
        <v>26</v>
      </c>
      <c r="X205" s="64">
        <f>SUMIF(D195:D214,"묘",F195:F214)</f>
        <v>0</v>
      </c>
      <c r="Y205" s="65">
        <f>SUMIF(I195:I214,"묘",K195:K214)</f>
        <v>0</v>
      </c>
      <c r="Z205" s="10">
        <f>COUNTIF(AJ195:AJ214,"묘국")+COUNTIF(AJ195:AJ214,"묘공")</f>
        <v>0</v>
      </c>
      <c r="AA205" s="42">
        <f>COUNTIF(AK195:AK214,"묘국")+COUNTIF(AK195:AK214,"묘공")</f>
        <v>0</v>
      </c>
      <c r="AB205" s="10" t="s">
        <v>26</v>
      </c>
      <c r="AC205" s="10">
        <f>SUMIF(AJ195:AJ214,"묘국",F195:F214)+SUMIF(AJ195:AJ214,"묘공",F195:F214)</f>
        <v>0</v>
      </c>
      <c r="AD205" s="42">
        <f>SUMIF(AK195:AK214,"묘국",K195:K214)+SUMIF(AK195:AK214,"묘공",K195:K214)</f>
        <v>0</v>
      </c>
      <c r="AE205" s="64">
        <f t="shared" si="39"/>
        <v>0</v>
      </c>
      <c r="AF205" s="65">
        <f t="shared" si="39"/>
        <v>0</v>
      </c>
      <c r="AG205" s="64" t="s">
        <v>26</v>
      </c>
      <c r="AH205" s="64">
        <f t="shared" si="40"/>
        <v>0</v>
      </c>
      <c r="AI205" s="65">
        <f t="shared" si="40"/>
        <v>0</v>
      </c>
      <c r="AJ205" s="64" t="str">
        <f t="shared" si="41"/>
        <v/>
      </c>
      <c r="AK205" s="64" t="str">
        <f t="shared" si="42"/>
        <v/>
      </c>
      <c r="AL205" s="66"/>
      <c r="AM205" s="66"/>
    </row>
    <row r="206" spans="1:39" s="67" customFormat="1" ht="24" hidden="1" customHeight="1" x14ac:dyDescent="0.15">
      <c r="A206" s="146">
        <v>192</v>
      </c>
      <c r="B206" s="121"/>
      <c r="C206" s="419"/>
      <c r="D206" s="419"/>
      <c r="E206" s="464"/>
      <c r="F206" s="464"/>
      <c r="G206" s="352"/>
      <c r="H206" s="351"/>
      <c r="I206" s="351"/>
      <c r="J206" s="352"/>
      <c r="K206" s="355"/>
      <c r="L206" s="420"/>
      <c r="M206" s="420"/>
      <c r="N206" s="528"/>
      <c r="O206" s="435"/>
      <c r="P206" s="322"/>
      <c r="Q206" s="322"/>
      <c r="R206" s="322"/>
      <c r="S206" s="264"/>
      <c r="T206" s="64" t="s">
        <v>39</v>
      </c>
      <c r="U206" s="64">
        <f>COUNTIF(D195:D214,"수")</f>
        <v>0</v>
      </c>
      <c r="V206" s="65">
        <f>COUNTIF(I195:I214,"수")</f>
        <v>0</v>
      </c>
      <c r="W206" s="64" t="s">
        <v>26</v>
      </c>
      <c r="X206" s="64">
        <f>SUMIF(D195:D214,"수",F195:F214)</f>
        <v>0</v>
      </c>
      <c r="Y206" s="65">
        <f>SUMIF(I195:I214,"수",K195:K214)</f>
        <v>0</v>
      </c>
      <c r="Z206" s="10">
        <f>COUNTIF(AJ195:AJ214,"수국")+COUNTIF(AJ195:AJ214,"수공")</f>
        <v>0</v>
      </c>
      <c r="AA206" s="42">
        <f>COUNTIF(AK195:AK214,"수국")+COUNTIF(AK195:AK214,"수공")</f>
        <v>0</v>
      </c>
      <c r="AB206" s="10" t="s">
        <v>26</v>
      </c>
      <c r="AC206" s="10">
        <f>SUMIF(AJ195:AJ214,"수국",F195:F214)+SUMIF(AJ195:AJ214,"수공",F195:F214)</f>
        <v>0</v>
      </c>
      <c r="AD206" s="42">
        <f>SUMIF(AK195:AK214,"수국",K195:K214)+SUMIF(AK195:AK214,"수공",K195:K214)</f>
        <v>0</v>
      </c>
      <c r="AE206" s="64">
        <f t="shared" si="39"/>
        <v>0</v>
      </c>
      <c r="AF206" s="65">
        <f t="shared" si="39"/>
        <v>0</v>
      </c>
      <c r="AG206" s="64" t="s">
        <v>26</v>
      </c>
      <c r="AH206" s="64">
        <f t="shared" si="40"/>
        <v>0</v>
      </c>
      <c r="AI206" s="65">
        <f t="shared" si="40"/>
        <v>0</v>
      </c>
      <c r="AJ206" s="64" t="str">
        <f t="shared" si="41"/>
        <v/>
      </c>
      <c r="AK206" s="64" t="str">
        <f t="shared" si="42"/>
        <v/>
      </c>
      <c r="AL206" s="66"/>
      <c r="AM206" s="66"/>
    </row>
    <row r="207" spans="1:39" s="67" customFormat="1" ht="24" hidden="1" customHeight="1" x14ac:dyDescent="0.15">
      <c r="A207" s="146">
        <v>193</v>
      </c>
      <c r="B207" s="121"/>
      <c r="C207" s="419"/>
      <c r="D207" s="419"/>
      <c r="E207" s="464"/>
      <c r="F207" s="464"/>
      <c r="G207" s="352"/>
      <c r="H207" s="351"/>
      <c r="I207" s="351"/>
      <c r="J207" s="352"/>
      <c r="K207" s="355"/>
      <c r="L207" s="420"/>
      <c r="M207" s="420"/>
      <c r="N207" s="528"/>
      <c r="O207" s="528"/>
      <c r="P207" s="106"/>
      <c r="Q207" s="106"/>
      <c r="R207" s="106"/>
      <c r="S207" s="264"/>
      <c r="T207" s="64" t="s">
        <v>35</v>
      </c>
      <c r="U207" s="64">
        <f>COUNTIF(D195:D214,"잡")</f>
        <v>0</v>
      </c>
      <c r="V207" s="65">
        <f>COUNTIF(I195:I214,"잡")</f>
        <v>0</v>
      </c>
      <c r="W207" s="64" t="s">
        <v>26</v>
      </c>
      <c r="X207" s="64">
        <f>SUMIF(D195:D214,"잡",F195:F214)</f>
        <v>0</v>
      </c>
      <c r="Y207" s="65">
        <f>SUMIF(I195:I214,"잡",K195:K214)</f>
        <v>0</v>
      </c>
      <c r="Z207" s="10">
        <f>COUNTIF(AJ195:AJ214,"잡국")+COUNTIF(AJ195:AJ214,"잡공")</f>
        <v>0</v>
      </c>
      <c r="AA207" s="42">
        <f>COUNTIF(AK195:AK214,"잡국")+COUNTIF(AK195:AK214,"잡공")</f>
        <v>0</v>
      </c>
      <c r="AB207" s="10" t="s">
        <v>26</v>
      </c>
      <c r="AC207" s="10">
        <f>SUMIF(AJ195:AJ214,"잡국",F195:F214)+SUMIF(AJ195:AJ214,"잡공",F195:F214)</f>
        <v>0</v>
      </c>
      <c r="AD207" s="42">
        <f>SUMIF(AK195:AK214,"잡국",K195:K214)+SUMIF(AK195:AK214,"잡공",K195:K214)</f>
        <v>0</v>
      </c>
      <c r="AE207" s="64">
        <f t="shared" si="39"/>
        <v>0</v>
      </c>
      <c r="AF207" s="65">
        <f t="shared" si="39"/>
        <v>0</v>
      </c>
      <c r="AG207" s="64" t="s">
        <v>26</v>
      </c>
      <c r="AH207" s="64">
        <f t="shared" si="40"/>
        <v>0</v>
      </c>
      <c r="AI207" s="65">
        <f t="shared" si="40"/>
        <v>0</v>
      </c>
      <c r="AJ207" s="64" t="str">
        <f t="shared" si="41"/>
        <v/>
      </c>
      <c r="AK207" s="64" t="str">
        <f t="shared" si="42"/>
        <v/>
      </c>
      <c r="AL207" s="66"/>
      <c r="AM207" s="66"/>
    </row>
    <row r="208" spans="1:39" s="67" customFormat="1" ht="24" hidden="1" customHeight="1" x14ac:dyDescent="0.15">
      <c r="A208" s="146">
        <v>194</v>
      </c>
      <c r="B208" s="121"/>
      <c r="C208" s="419"/>
      <c r="D208" s="419"/>
      <c r="E208" s="464"/>
      <c r="F208" s="464"/>
      <c r="G208" s="352"/>
      <c r="H208" s="351"/>
      <c r="I208" s="351"/>
      <c r="J208" s="352"/>
      <c r="K208" s="355"/>
      <c r="L208" s="420"/>
      <c r="M208" s="420"/>
      <c r="N208" s="528"/>
      <c r="O208" s="528"/>
      <c r="P208" s="322"/>
      <c r="Q208" s="322"/>
      <c r="R208" s="322"/>
      <c r="S208" s="264"/>
      <c r="T208" s="64" t="s">
        <v>51</v>
      </c>
      <c r="U208" s="64">
        <f>COUNTIF(D195:D214,"체")</f>
        <v>0</v>
      </c>
      <c r="V208" s="65">
        <f>COUNTIF(I195:I214,"체")</f>
        <v>0</v>
      </c>
      <c r="W208" s="64" t="s">
        <v>26</v>
      </c>
      <c r="X208" s="64">
        <f>SUMIF(D195:D214,"체",F195:F214)</f>
        <v>0</v>
      </c>
      <c r="Y208" s="65">
        <f>SUMIF(I195:I214,"체",K195:K214)</f>
        <v>0</v>
      </c>
      <c r="Z208" s="10">
        <f>COUNTIF(AJ195:AJ214,"체국")+COUNTIF(AJ195:AJ214,"체공")</f>
        <v>0</v>
      </c>
      <c r="AA208" s="42">
        <f>COUNTIF(AK195:AK214,"체국")+COUNTIF(AK195:AK214,"체공")</f>
        <v>0</v>
      </c>
      <c r="AB208" s="10" t="s">
        <v>26</v>
      </c>
      <c r="AC208" s="10">
        <f>SUMIF(AJ195:AJ214,"체국",F195:F214)+SUMIF(AJ195:AJ214,"체공",F195:F214)</f>
        <v>0</v>
      </c>
      <c r="AD208" s="42">
        <f>SUMIF(AK195:AK214,"체국",K195:K214)+SUMIF(AK195:AK214,"체공",K195:K214)</f>
        <v>0</v>
      </c>
      <c r="AE208" s="64">
        <f t="shared" si="39"/>
        <v>0</v>
      </c>
      <c r="AF208" s="65">
        <f t="shared" si="39"/>
        <v>0</v>
      </c>
      <c r="AG208" s="64" t="s">
        <v>26</v>
      </c>
      <c r="AH208" s="64">
        <f t="shared" si="40"/>
        <v>0</v>
      </c>
      <c r="AI208" s="65">
        <f t="shared" si="40"/>
        <v>0</v>
      </c>
      <c r="AJ208" s="64" t="str">
        <f t="shared" si="41"/>
        <v/>
      </c>
      <c r="AK208" s="64" t="str">
        <f t="shared" si="42"/>
        <v/>
      </c>
      <c r="AL208" s="66"/>
      <c r="AM208" s="66"/>
    </row>
    <row r="209" spans="1:39" s="67" customFormat="1" ht="24" hidden="1" customHeight="1" x14ac:dyDescent="0.15">
      <c r="A209" s="146">
        <v>195</v>
      </c>
      <c r="B209" s="121"/>
      <c r="C209" s="419"/>
      <c r="D209" s="419"/>
      <c r="E209" s="464"/>
      <c r="F209" s="464"/>
      <c r="G209" s="352"/>
      <c r="H209" s="351"/>
      <c r="I209" s="351"/>
      <c r="J209" s="352"/>
      <c r="K209" s="355"/>
      <c r="L209" s="420"/>
      <c r="M209" s="420"/>
      <c r="N209" s="528"/>
      <c r="O209" s="528"/>
      <c r="P209" s="322"/>
      <c r="Q209" s="322"/>
      <c r="R209" s="322"/>
      <c r="S209" s="264"/>
      <c r="T209" s="64" t="s">
        <v>50</v>
      </c>
      <c r="U209" s="64">
        <f>COUNTIF(D195:D214,"공")</f>
        <v>0</v>
      </c>
      <c r="V209" s="65">
        <f>COUNTIF(I195:I214,"공")</f>
        <v>0</v>
      </c>
      <c r="W209" s="64" t="s">
        <v>26</v>
      </c>
      <c r="X209" s="64">
        <f>SUMIF(D195:D214,"공",F195:F214)</f>
        <v>0</v>
      </c>
      <c r="Y209" s="65">
        <f>SUMIF(I195:I214,"공",K195:K214)</f>
        <v>0</v>
      </c>
      <c r="Z209" s="10">
        <f>COUNTIF(AJ195:AJ214,"공국")+COUNTIF(AJ195:AJ214,"공공")</f>
        <v>0</v>
      </c>
      <c r="AA209" s="42">
        <f>COUNTIF(AK195:AK214,"공국")+COUNTIF(AK195:AK214,"공공")</f>
        <v>0</v>
      </c>
      <c r="AB209" s="10" t="s">
        <v>26</v>
      </c>
      <c r="AC209" s="10">
        <f>SUMIF(AJ195:AJ214,"공국",F195:F214)+SUMIF(AJ195:AJ214,"공공",F195:F214)</f>
        <v>0</v>
      </c>
      <c r="AD209" s="42">
        <f>SUMIF(AK195:AK214,"공국",K195:K214)+SUMIF(AK195:AK214,"공공",K195:K214)</f>
        <v>0</v>
      </c>
      <c r="AE209" s="64">
        <f t="shared" si="39"/>
        <v>0</v>
      </c>
      <c r="AF209" s="65">
        <f t="shared" si="39"/>
        <v>0</v>
      </c>
      <c r="AG209" s="64" t="s">
        <v>26</v>
      </c>
      <c r="AH209" s="64">
        <f t="shared" si="40"/>
        <v>0</v>
      </c>
      <c r="AI209" s="65">
        <f t="shared" si="40"/>
        <v>0</v>
      </c>
      <c r="AJ209" s="64" t="str">
        <f t="shared" si="41"/>
        <v/>
      </c>
      <c r="AK209" s="64" t="str">
        <f t="shared" si="42"/>
        <v/>
      </c>
      <c r="AL209" s="66"/>
      <c r="AM209" s="66"/>
    </row>
    <row r="210" spans="1:39" s="67" customFormat="1" ht="24" hidden="1" customHeight="1" x14ac:dyDescent="0.15">
      <c r="A210" s="146">
        <v>196</v>
      </c>
      <c r="B210" s="121"/>
      <c r="C210" s="419"/>
      <c r="D210" s="419"/>
      <c r="E210" s="464"/>
      <c r="F210" s="464"/>
      <c r="G210" s="352"/>
      <c r="H210" s="351"/>
      <c r="I210" s="351"/>
      <c r="J210" s="352"/>
      <c r="K210" s="355"/>
      <c r="L210" s="420"/>
      <c r="M210" s="420"/>
      <c r="N210" s="528"/>
      <c r="O210" s="528"/>
      <c r="P210" s="106"/>
      <c r="Q210" s="106"/>
      <c r="R210" s="106"/>
      <c r="S210" s="264"/>
      <c r="T210" s="70" t="s">
        <v>40</v>
      </c>
      <c r="U210" s="64">
        <f>COUNTIF(D195:D214,"장")</f>
        <v>0</v>
      </c>
      <c r="V210" s="65">
        <f>COUNTIF(I195:I214,"장")</f>
        <v>0</v>
      </c>
      <c r="W210" s="64" t="s">
        <v>26</v>
      </c>
      <c r="X210" s="64">
        <f>SUMIF(D195:D214,"장",F195:F214)</f>
        <v>0</v>
      </c>
      <c r="Y210" s="65">
        <f>SUMIF(I195:I214,"장",K195:K214)</f>
        <v>0</v>
      </c>
      <c r="Z210" s="10">
        <f>COUNTIF(AJ195:AJ214,"장국")+COUNTIF(AJ195:AJ214,"장공")</f>
        <v>0</v>
      </c>
      <c r="AA210" s="42">
        <f>COUNTIF(AK195:AK214,"장국")+COUNTIF(AK195:AK214,"장공")</f>
        <v>0</v>
      </c>
      <c r="AB210" s="10" t="s">
        <v>26</v>
      </c>
      <c r="AC210" s="10">
        <f>SUMIF(AJ195:AJ214,"장국",F195:F214)+SUMIF(AJ195:AJ214,"장공",F195:F214)</f>
        <v>0</v>
      </c>
      <c r="AD210" s="42">
        <f>SUMIF(AK195:AK214,"장국",K195:K214)+SUMIF(AK195:AK214,"장공",K195:K214)</f>
        <v>0</v>
      </c>
      <c r="AE210" s="64">
        <f t="shared" si="39"/>
        <v>0</v>
      </c>
      <c r="AF210" s="65">
        <f t="shared" si="39"/>
        <v>0</v>
      </c>
      <c r="AG210" s="64" t="s">
        <v>26</v>
      </c>
      <c r="AH210" s="64">
        <f t="shared" si="40"/>
        <v>0</v>
      </c>
      <c r="AI210" s="65">
        <f t="shared" si="40"/>
        <v>0</v>
      </c>
      <c r="AJ210" s="64" t="str">
        <f t="shared" si="41"/>
        <v/>
      </c>
      <c r="AK210" s="64" t="str">
        <f t="shared" si="42"/>
        <v/>
      </c>
      <c r="AL210" s="66"/>
      <c r="AM210" s="66"/>
    </row>
    <row r="211" spans="1:39" s="67" customFormat="1" ht="24" hidden="1" customHeight="1" x14ac:dyDescent="0.15">
      <c r="A211" s="146">
        <v>197</v>
      </c>
      <c r="B211" s="121"/>
      <c r="C211" s="419"/>
      <c r="D211" s="419"/>
      <c r="E211" s="464"/>
      <c r="F211" s="464"/>
      <c r="G211" s="352"/>
      <c r="H211" s="351"/>
      <c r="I211" s="351"/>
      <c r="J211" s="352"/>
      <c r="K211" s="355"/>
      <c r="L211" s="420"/>
      <c r="M211" s="532"/>
      <c r="N211" s="528"/>
      <c r="O211" s="528"/>
      <c r="P211" s="322"/>
      <c r="Q211" s="322"/>
      <c r="R211" s="322"/>
      <c r="S211" s="264"/>
      <c r="T211" s="70" t="s">
        <v>5</v>
      </c>
      <c r="U211" s="64">
        <f>COUNTIF(D195:D214,"목")</f>
        <v>0</v>
      </c>
      <c r="V211" s="65">
        <f>COUNTIF(I195:I214,"목")</f>
        <v>0</v>
      </c>
      <c r="W211" s="64" t="s">
        <v>26</v>
      </c>
      <c r="X211" s="64">
        <f>SUMIF(D195:D214,"목",F195:F214)</f>
        <v>0</v>
      </c>
      <c r="Y211" s="65">
        <f>SUMIF(I195:I214,"목",K195:K214)</f>
        <v>0</v>
      </c>
      <c r="Z211" s="10">
        <f>COUNTIF(AJ195:AJ214,"목국")+COUNTIF(AJ195:AJ214,"목공")</f>
        <v>0</v>
      </c>
      <c r="AA211" s="42">
        <f>COUNTIF(AK195:AK214,"목국")+COUNTIF(AK195:AK214,"목공")</f>
        <v>0</v>
      </c>
      <c r="AB211" s="10" t="s">
        <v>26</v>
      </c>
      <c r="AC211" s="10">
        <f>SUMIF(AJ195:AJ214,"목국",F195:F214)+SUMIF(AJ195:AJ214,"목공",F195:F214)</f>
        <v>0</v>
      </c>
      <c r="AD211" s="42">
        <f>SUMIF(AK195:AK214,"목국",K195:K214)+SUMIF(AK195:AK214,"목공",K195:K214)</f>
        <v>0</v>
      </c>
      <c r="AE211" s="64">
        <f t="shared" si="39"/>
        <v>0</v>
      </c>
      <c r="AF211" s="65">
        <f t="shared" si="39"/>
        <v>0</v>
      </c>
      <c r="AG211" s="64" t="s">
        <v>26</v>
      </c>
      <c r="AH211" s="64">
        <f t="shared" si="40"/>
        <v>0</v>
      </c>
      <c r="AI211" s="65">
        <f t="shared" si="40"/>
        <v>0</v>
      </c>
      <c r="AJ211" s="64" t="str">
        <f t="shared" si="41"/>
        <v/>
      </c>
      <c r="AK211" s="64" t="str">
        <f t="shared" si="42"/>
        <v/>
      </c>
      <c r="AL211" s="66"/>
      <c r="AM211" s="66"/>
    </row>
    <row r="212" spans="1:39" s="67" customFormat="1" ht="24" hidden="1" customHeight="1" x14ac:dyDescent="0.15">
      <c r="A212" s="146">
        <v>198</v>
      </c>
      <c r="B212" s="121"/>
      <c r="C212" s="421"/>
      <c r="D212" s="419"/>
      <c r="E212" s="465"/>
      <c r="F212" s="465"/>
      <c r="G212" s="352"/>
      <c r="H212" s="351"/>
      <c r="I212" s="351"/>
      <c r="J212" s="352"/>
      <c r="K212" s="355"/>
      <c r="L212" s="420"/>
      <c r="M212" s="420"/>
      <c r="N212" s="528"/>
      <c r="O212" s="528"/>
      <c r="P212" s="322"/>
      <c r="Q212" s="322"/>
      <c r="R212" s="322"/>
      <c r="S212" s="264"/>
      <c r="T212" s="70"/>
      <c r="U212" s="70"/>
      <c r="V212" s="71"/>
      <c r="W212" s="70"/>
      <c r="X212" s="70"/>
      <c r="Y212" s="71"/>
      <c r="Z212" s="10"/>
      <c r="AA212" s="42"/>
      <c r="AB212" s="11"/>
      <c r="AC212" s="10"/>
      <c r="AD212" s="42"/>
      <c r="AE212" s="70"/>
      <c r="AF212" s="71"/>
      <c r="AG212" s="70"/>
      <c r="AH212" s="70"/>
      <c r="AI212" s="71"/>
      <c r="AJ212" s="64" t="str">
        <f t="shared" si="41"/>
        <v/>
      </c>
      <c r="AK212" s="64" t="str">
        <f t="shared" si="42"/>
        <v/>
      </c>
      <c r="AL212" s="66"/>
      <c r="AM212" s="66"/>
    </row>
    <row r="213" spans="1:39" s="67" customFormat="1" ht="24" hidden="1" customHeight="1" x14ac:dyDescent="0.15">
      <c r="A213" s="146">
        <v>199</v>
      </c>
      <c r="B213" s="121"/>
      <c r="C213" s="419"/>
      <c r="D213" s="419"/>
      <c r="E213" s="464"/>
      <c r="F213" s="464"/>
      <c r="G213" s="356"/>
      <c r="H213" s="351"/>
      <c r="I213" s="351"/>
      <c r="J213" s="356"/>
      <c r="K213" s="355"/>
      <c r="L213" s="420"/>
      <c r="M213" s="420"/>
      <c r="N213" s="528"/>
      <c r="O213" s="528"/>
      <c r="P213" s="106"/>
      <c r="Q213" s="106"/>
      <c r="R213" s="106"/>
      <c r="S213" s="264"/>
      <c r="T213" s="70"/>
      <c r="U213" s="70"/>
      <c r="V213" s="71"/>
      <c r="W213" s="70"/>
      <c r="X213" s="70"/>
      <c r="Y213" s="71"/>
      <c r="Z213" s="10"/>
      <c r="AA213" s="42"/>
      <c r="AB213" s="11"/>
      <c r="AC213" s="10"/>
      <c r="AD213" s="42"/>
      <c r="AE213" s="70"/>
      <c r="AF213" s="71"/>
      <c r="AG213" s="70"/>
      <c r="AH213" s="70"/>
      <c r="AI213" s="71"/>
      <c r="AJ213" s="64" t="str">
        <f t="shared" si="41"/>
        <v/>
      </c>
      <c r="AK213" s="64" t="str">
        <f t="shared" si="42"/>
        <v/>
      </c>
      <c r="AL213" s="66"/>
      <c r="AM213" s="66"/>
    </row>
    <row r="214" spans="1:39" s="67" customFormat="1" ht="24" hidden="1" customHeight="1" x14ac:dyDescent="0.15">
      <c r="A214" s="146">
        <v>200</v>
      </c>
      <c r="B214" s="121"/>
      <c r="C214" s="421"/>
      <c r="D214" s="419"/>
      <c r="E214" s="465"/>
      <c r="F214" s="465"/>
      <c r="G214" s="356"/>
      <c r="H214" s="351"/>
      <c r="I214" s="351"/>
      <c r="J214" s="356"/>
      <c r="K214" s="355"/>
      <c r="L214" s="420"/>
      <c r="M214" s="420"/>
      <c r="N214" s="528"/>
      <c r="O214" s="528"/>
      <c r="P214" s="322"/>
      <c r="Q214" s="322"/>
      <c r="R214" s="322"/>
      <c r="S214" s="264"/>
      <c r="T214" s="72" t="s">
        <v>37</v>
      </c>
      <c r="U214" s="72">
        <f>COUNTIF(D195:D214,"철")</f>
        <v>0</v>
      </c>
      <c r="V214" s="73">
        <f>COUNTIF(I195:I214,"철")</f>
        <v>0</v>
      </c>
      <c r="W214" s="72" t="s">
        <v>26</v>
      </c>
      <c r="X214" s="72">
        <f>SUMIF(D195:D214,"철",F195:F214)</f>
        <v>0</v>
      </c>
      <c r="Y214" s="73">
        <f>SUMIF(I195:I214,"철",K195:K214)</f>
        <v>0</v>
      </c>
      <c r="Z214" s="10">
        <f>COUNTIF(AJ195:AJ214,"철국")+COUNTIF(AJ195:AJ214,"철공")</f>
        <v>0</v>
      </c>
      <c r="AA214" s="42">
        <f>COUNTIF(AK195:AK214,"철국")+COUNTIF(AK195:AK214,"철공")</f>
        <v>0</v>
      </c>
      <c r="AB214" s="12" t="s">
        <v>26</v>
      </c>
      <c r="AC214" s="10">
        <f>SUMIF(AJ195:AJ214,"철국",F195:F214)+SUMIF(AJ195:AJ214,"철공",F195:F214)</f>
        <v>0</v>
      </c>
      <c r="AD214" s="42">
        <f>SUMIF(AK195:AK214,"철국",K195:K214)+SUMIF(AK195:AK214,"철공",K195:K214)</f>
        <v>0</v>
      </c>
      <c r="AE214" s="72"/>
      <c r="AF214" s="73"/>
      <c r="AG214" s="72"/>
      <c r="AH214" s="72"/>
      <c r="AI214" s="73"/>
      <c r="AJ214" s="64" t="str">
        <f t="shared" si="41"/>
        <v/>
      </c>
      <c r="AK214" s="64" t="str">
        <f t="shared" si="42"/>
        <v/>
      </c>
      <c r="AL214" s="66"/>
      <c r="AM214" s="66"/>
    </row>
    <row r="215" spans="1:39" s="57" customFormat="1" ht="24" hidden="1" customHeight="1" thickBot="1" x14ac:dyDescent="0.2">
      <c r="A215" s="147" t="s">
        <v>48</v>
      </c>
      <c r="B215" s="148"/>
      <c r="C215" s="148"/>
      <c r="D215" s="148"/>
      <c r="E215" s="178"/>
      <c r="F215" s="149">
        <f>SUM(F195:F214)</f>
        <v>0</v>
      </c>
      <c r="G215" s="496"/>
      <c r="H215" s="496"/>
      <c r="I215" s="497"/>
      <c r="J215" s="552"/>
      <c r="K215" s="529">
        <f>SUM(K195:K214)</f>
        <v>0</v>
      </c>
      <c r="L215" s="150"/>
      <c r="M215" s="150"/>
      <c r="N215" s="150"/>
      <c r="O215" s="150"/>
      <c r="P215" s="150"/>
      <c r="Q215" s="150"/>
      <c r="R215" s="150"/>
      <c r="S215" s="151"/>
      <c r="T215" s="62" t="s">
        <v>24</v>
      </c>
      <c r="U215" s="63">
        <f t="shared" ref="U215:AA215" si="43">SUM(U195:U214)</f>
        <v>0</v>
      </c>
      <c r="V215" s="63">
        <f t="shared" si="43"/>
        <v>0</v>
      </c>
      <c r="W215" s="63">
        <f t="shared" si="43"/>
        <v>0</v>
      </c>
      <c r="X215" s="63">
        <f t="shared" si="43"/>
        <v>0</v>
      </c>
      <c r="Y215" s="63">
        <f t="shared" si="43"/>
        <v>0</v>
      </c>
      <c r="Z215" s="37">
        <f t="shared" si="43"/>
        <v>0</v>
      </c>
      <c r="AA215" s="43">
        <f t="shared" si="43"/>
        <v>0</v>
      </c>
      <c r="AB215" s="37" t="s">
        <v>26</v>
      </c>
      <c r="AC215" s="37">
        <f>SUM(AC195:AC214)</f>
        <v>0</v>
      </c>
      <c r="AD215" s="43">
        <f>SUM(AD195:AD214)</f>
        <v>0</v>
      </c>
      <c r="AE215" s="63">
        <f>SUM(AE195:AE214)</f>
        <v>0</v>
      </c>
      <c r="AF215" s="63">
        <f>SUM(AF195:AF214)</f>
        <v>0</v>
      </c>
      <c r="AG215" s="63" t="s">
        <v>26</v>
      </c>
      <c r="AH215" s="63">
        <f>SUM(AH195:AH214)</f>
        <v>0</v>
      </c>
      <c r="AI215" s="63">
        <f>SUM(AI195:AI214)</f>
        <v>0</v>
      </c>
      <c r="AJ215" s="63"/>
      <c r="AK215" s="64" t="str">
        <f t="shared" si="42"/>
        <v/>
      </c>
    </row>
    <row r="216" spans="1:39" s="67" customFormat="1" ht="24" hidden="1" customHeight="1" x14ac:dyDescent="0.15">
      <c r="A216" s="139">
        <v>201</v>
      </c>
      <c r="B216" s="536"/>
      <c r="C216" s="553"/>
      <c r="D216" s="553"/>
      <c r="E216" s="590"/>
      <c r="F216" s="554"/>
      <c r="G216" s="555"/>
      <c r="H216" s="549"/>
      <c r="I216" s="549"/>
      <c r="J216" s="555"/>
      <c r="K216" s="551"/>
      <c r="L216" s="556"/>
      <c r="M216" s="556"/>
      <c r="N216" s="557"/>
      <c r="O216" s="557"/>
      <c r="P216" s="539"/>
      <c r="Q216" s="539"/>
      <c r="R216" s="539"/>
      <c r="S216" s="285"/>
      <c r="T216" s="64" t="s">
        <v>27</v>
      </c>
      <c r="U216" s="64">
        <f>COUNTIF(D216:D235,"전")</f>
        <v>0</v>
      </c>
      <c r="V216" s="65">
        <f>COUNTIF(I216:I235,"전")</f>
        <v>0</v>
      </c>
      <c r="W216" s="64" t="s">
        <v>26</v>
      </c>
      <c r="X216" s="64">
        <f>SUMIF(D216:D235,"전",F216:F235)</f>
        <v>0</v>
      </c>
      <c r="Y216" s="65">
        <f>SUMIF(I216:I235,"전",K216:K235)</f>
        <v>0</v>
      </c>
      <c r="Z216" s="10">
        <f>COUNTIF(AJ216:AJ235,"전국")+COUNTIF(AJ216:AJ235,"전공")</f>
        <v>0</v>
      </c>
      <c r="AA216" s="42">
        <f>COUNTIF(AK216:AK235,"전국")+COUNTIF(AK216:AK235,"전공")</f>
        <v>0</v>
      </c>
      <c r="AB216" s="10" t="s">
        <v>26</v>
      </c>
      <c r="AC216" s="10">
        <f>SUMIF(AJ216:AJ235,"전국",F216:F235)+SUMIF(AJ216:AJ235,"전공",F216:F235)</f>
        <v>0</v>
      </c>
      <c r="AD216" s="42">
        <f>SUMIF(AK216:AK235,"전국",K216:K235)+SUMIF(AK216:AK235,"전공",K216:K235)</f>
        <v>0</v>
      </c>
      <c r="AE216" s="64">
        <f t="shared" ref="AE216:AF232" si="44">U216-Z216</f>
        <v>0</v>
      </c>
      <c r="AF216" s="65">
        <f t="shared" si="44"/>
        <v>0</v>
      </c>
      <c r="AG216" s="64" t="s">
        <v>26</v>
      </c>
      <c r="AH216" s="64">
        <f t="shared" ref="AH216:AI232" si="45">X216-AC216</f>
        <v>0</v>
      </c>
      <c r="AI216" s="65">
        <f t="shared" si="45"/>
        <v>0</v>
      </c>
      <c r="AJ216" s="64" t="str">
        <f t="shared" ref="AJ216:AJ235" si="46">CONCATENATE(D216,L216)</f>
        <v/>
      </c>
      <c r="AK216" s="64" t="str">
        <f t="shared" ref="AK216:AK235" si="47">CONCATENATE(I216,L216)</f>
        <v/>
      </c>
      <c r="AL216" s="66"/>
      <c r="AM216" s="66"/>
    </row>
    <row r="217" spans="1:39" s="67" customFormat="1" ht="24" hidden="1" customHeight="1" x14ac:dyDescent="0.15">
      <c r="A217" s="146">
        <v>202</v>
      </c>
      <c r="B217" s="121"/>
      <c r="C217" s="419"/>
      <c r="D217" s="419"/>
      <c r="E217" s="464"/>
      <c r="F217" s="464"/>
      <c r="G217" s="352"/>
      <c r="H217" s="351"/>
      <c r="I217" s="351"/>
      <c r="J217" s="352"/>
      <c r="K217" s="355"/>
      <c r="L217" s="420"/>
      <c r="M217" s="420"/>
      <c r="N217" s="528"/>
      <c r="O217" s="528"/>
      <c r="P217" s="106"/>
      <c r="Q217" s="106"/>
      <c r="R217" s="106"/>
      <c r="S217" s="264"/>
      <c r="T217" s="64" t="s">
        <v>28</v>
      </c>
      <c r="U217" s="64">
        <f>COUNTIF(D216:D235,"답")</f>
        <v>0</v>
      </c>
      <c r="V217" s="65">
        <f>COUNTIF(I216:I235,"답")</f>
        <v>0</v>
      </c>
      <c r="W217" s="64" t="s">
        <v>26</v>
      </c>
      <c r="X217" s="64">
        <f>SUMIF(D216:D235,"답",F216:F235)</f>
        <v>0</v>
      </c>
      <c r="Y217" s="65">
        <f>SUMIF(I216:I235,"답",K216:K235)</f>
        <v>0</v>
      </c>
      <c r="Z217" s="10">
        <f>COUNTIF(AJ216:AJ235,"답국")+COUNTIF(AJ216:AJ235,"답공")</f>
        <v>0</v>
      </c>
      <c r="AA217" s="42">
        <f>COUNTIF(AK216:AK235,"답국")+COUNTIF(AK216:AK235,"답공")</f>
        <v>0</v>
      </c>
      <c r="AB217" s="10" t="s">
        <v>26</v>
      </c>
      <c r="AC217" s="10">
        <f>SUMIF(AJ216:AJ235,"답국",F216:F235)+SUMIF(AJ216:AJ235,"답공",F216:F235)</f>
        <v>0</v>
      </c>
      <c r="AD217" s="42">
        <f>SUMIF(AK216:AK235,"답국",K216:K235)+SUMIF(AK216:AK235,"답공",K216:K235)</f>
        <v>0</v>
      </c>
      <c r="AE217" s="64">
        <f t="shared" si="44"/>
        <v>0</v>
      </c>
      <c r="AF217" s="65">
        <f t="shared" si="44"/>
        <v>0</v>
      </c>
      <c r="AG217" s="64" t="s">
        <v>26</v>
      </c>
      <c r="AH217" s="64">
        <f t="shared" si="45"/>
        <v>0</v>
      </c>
      <c r="AI217" s="65">
        <f t="shared" si="45"/>
        <v>0</v>
      </c>
      <c r="AJ217" s="64" t="str">
        <f t="shared" si="46"/>
        <v/>
      </c>
      <c r="AK217" s="64" t="str">
        <f t="shared" si="47"/>
        <v/>
      </c>
      <c r="AL217" s="66"/>
      <c r="AM217" s="66"/>
    </row>
    <row r="218" spans="1:39" s="67" customFormat="1" ht="24" hidden="1" customHeight="1" x14ac:dyDescent="0.15">
      <c r="A218" s="146">
        <v>203</v>
      </c>
      <c r="B218" s="121"/>
      <c r="C218" s="419"/>
      <c r="D218" s="419"/>
      <c r="E218" s="464"/>
      <c r="F218" s="464"/>
      <c r="G218" s="352"/>
      <c r="H218" s="351"/>
      <c r="I218" s="351"/>
      <c r="J218" s="352"/>
      <c r="K218" s="355"/>
      <c r="L218" s="420"/>
      <c r="M218" s="420"/>
      <c r="N218" s="528"/>
      <c r="O218" s="528"/>
      <c r="P218" s="322"/>
      <c r="Q218" s="322"/>
      <c r="R218" s="322"/>
      <c r="S218" s="264"/>
      <c r="T218" s="64" t="s">
        <v>44</v>
      </c>
      <c r="U218" s="64">
        <f>COUNTIF(D216:D235,"임")</f>
        <v>0</v>
      </c>
      <c r="V218" s="65">
        <f>COUNTIF(I216:I235,"임")</f>
        <v>0</v>
      </c>
      <c r="W218" s="64" t="s">
        <v>26</v>
      </c>
      <c r="X218" s="64">
        <f>SUMIF(D216:D235,"임",F216:F235)</f>
        <v>0</v>
      </c>
      <c r="Y218" s="65">
        <f>SUMIF(I216:I235,"임",K216:K235)</f>
        <v>0</v>
      </c>
      <c r="Z218" s="10">
        <f>COUNTIF(AJ216:AJ235,"임국")+COUNTIF(AJ216:AJ235,"임공")</f>
        <v>0</v>
      </c>
      <c r="AA218" s="42">
        <f>COUNTIF(AK216:AK235,"임국")+COUNTIF(AK216:AK235,"임공")</f>
        <v>0</v>
      </c>
      <c r="AB218" s="10" t="s">
        <v>26</v>
      </c>
      <c r="AC218" s="10">
        <f>SUMIF(AJ216:AJ235,"임국",F216:F235)+SUMIF(AJ216:AJ235,"임공",F216:F235)</f>
        <v>0</v>
      </c>
      <c r="AD218" s="42">
        <f>SUMIF(AK216:AK235,"임국",K216:K235)+SUMIF(AK216:AK235,"임공",K216:K235)</f>
        <v>0</v>
      </c>
      <c r="AE218" s="64">
        <f t="shared" si="44"/>
        <v>0</v>
      </c>
      <c r="AF218" s="65">
        <f t="shared" si="44"/>
        <v>0</v>
      </c>
      <c r="AG218" s="64" t="s">
        <v>26</v>
      </c>
      <c r="AH218" s="64">
        <f t="shared" si="45"/>
        <v>0</v>
      </c>
      <c r="AI218" s="65">
        <f t="shared" si="45"/>
        <v>0</v>
      </c>
      <c r="AJ218" s="64" t="str">
        <f t="shared" si="46"/>
        <v/>
      </c>
      <c r="AK218" s="64" t="str">
        <f t="shared" si="47"/>
        <v/>
      </c>
      <c r="AL218" s="66"/>
      <c r="AM218" s="66"/>
    </row>
    <row r="219" spans="1:39" s="67" customFormat="1" ht="24" hidden="1" customHeight="1" x14ac:dyDescent="0.15">
      <c r="A219" s="146">
        <v>204</v>
      </c>
      <c r="B219" s="121"/>
      <c r="C219" s="419"/>
      <c r="D219" s="419"/>
      <c r="E219" s="464"/>
      <c r="F219" s="464"/>
      <c r="G219" s="356"/>
      <c r="H219" s="351"/>
      <c r="I219" s="351"/>
      <c r="J219" s="356"/>
      <c r="K219" s="355"/>
      <c r="L219" s="420"/>
      <c r="M219" s="420"/>
      <c r="N219" s="528"/>
      <c r="O219" s="528"/>
      <c r="P219" s="322"/>
      <c r="Q219" s="322"/>
      <c r="R219" s="322"/>
      <c r="S219" s="264"/>
      <c r="T219" s="64" t="s">
        <v>45</v>
      </c>
      <c r="U219" s="64">
        <f>COUNTIF(D216:D235,"대")</f>
        <v>0</v>
      </c>
      <c r="V219" s="65">
        <f>COUNTIF(I216:I235,"대")</f>
        <v>0</v>
      </c>
      <c r="W219" s="64" t="s">
        <v>26</v>
      </c>
      <c r="X219" s="64">
        <f>SUMIF(D216:D235,"대",F216:F235)</f>
        <v>0</v>
      </c>
      <c r="Y219" s="65">
        <f>SUMIF(I216:I235,"대",K216:K235)</f>
        <v>0</v>
      </c>
      <c r="Z219" s="10">
        <f>COUNTIF(AJ216:AJ235,"대국")+COUNTIF(AJ216:AJ235,"대공")</f>
        <v>0</v>
      </c>
      <c r="AA219" s="42">
        <f>COUNTIF(AK216:AK235,"대국")+COUNTIF(AK216:AK235,"대공")</f>
        <v>0</v>
      </c>
      <c r="AB219" s="10" t="s">
        <v>26</v>
      </c>
      <c r="AC219" s="10">
        <f>SUMIF(AJ216:AJ235,"대국",F216:F235)+SUMIF(AJ216:AJ235,"대공",F216:F235)</f>
        <v>0</v>
      </c>
      <c r="AD219" s="42">
        <f>SUMIF(AK216:AK235,"대국",K216:K235)+SUMIF(AK216:AK235,"대공",K216:K235)</f>
        <v>0</v>
      </c>
      <c r="AE219" s="64">
        <f t="shared" si="44"/>
        <v>0</v>
      </c>
      <c r="AF219" s="65">
        <f t="shared" si="44"/>
        <v>0</v>
      </c>
      <c r="AG219" s="64" t="s">
        <v>26</v>
      </c>
      <c r="AH219" s="64">
        <f t="shared" si="45"/>
        <v>0</v>
      </c>
      <c r="AI219" s="65">
        <f t="shared" si="45"/>
        <v>0</v>
      </c>
      <c r="AJ219" s="64" t="str">
        <f t="shared" si="46"/>
        <v/>
      </c>
      <c r="AK219" s="64" t="str">
        <f t="shared" si="47"/>
        <v/>
      </c>
      <c r="AL219" s="66"/>
      <c r="AM219" s="66"/>
    </row>
    <row r="220" spans="1:39" s="67" customFormat="1" ht="24" hidden="1" customHeight="1" x14ac:dyDescent="0.15">
      <c r="A220" s="146">
        <v>205</v>
      </c>
      <c r="B220" s="121"/>
      <c r="C220" s="419"/>
      <c r="D220" s="419"/>
      <c r="E220" s="464"/>
      <c r="F220" s="464"/>
      <c r="G220" s="352"/>
      <c r="H220" s="351"/>
      <c r="I220" s="351"/>
      <c r="J220" s="352"/>
      <c r="K220" s="355"/>
      <c r="L220" s="420"/>
      <c r="M220" s="420"/>
      <c r="N220" s="528"/>
      <c r="O220" s="528"/>
      <c r="P220" s="322"/>
      <c r="Q220" s="322"/>
      <c r="R220" s="322"/>
      <c r="S220" s="264"/>
      <c r="T220" s="64" t="s">
        <v>31</v>
      </c>
      <c r="U220" s="64">
        <f>COUNTIF(D216:D235,"도")</f>
        <v>0</v>
      </c>
      <c r="V220" s="65">
        <f>COUNTIF(I216:I235,"도")</f>
        <v>0</v>
      </c>
      <c r="W220" s="64" t="s">
        <v>26</v>
      </c>
      <c r="X220" s="64">
        <f>SUMIF(D216:D235,"도",F216:F235)</f>
        <v>0</v>
      </c>
      <c r="Y220" s="65">
        <f>SUMIF(I216:I235,"도",K216:K235)</f>
        <v>0</v>
      </c>
      <c r="Z220" s="10">
        <f>COUNTIF(AJ216:AJ235,"도국")+COUNTIF(AJ216:AJ235,"도공")</f>
        <v>0</v>
      </c>
      <c r="AA220" s="42">
        <f>COUNTIF(AK216:AK235,"도국")+COUNTIF(AK216:AK235,"도공")</f>
        <v>0</v>
      </c>
      <c r="AB220" s="10" t="s">
        <v>26</v>
      </c>
      <c r="AC220" s="10">
        <f>SUMIF(AJ216:AJ235,"도국",F216:F235)+SUMIF(AJ216:AJ235,"도공",F216:F235)</f>
        <v>0</v>
      </c>
      <c r="AD220" s="42">
        <f>SUMIF(AK216:AK235,"도국",K216:K235)+SUMIF(AK216:AK235,"도공",K216:K235)</f>
        <v>0</v>
      </c>
      <c r="AE220" s="64">
        <f t="shared" si="44"/>
        <v>0</v>
      </c>
      <c r="AF220" s="65">
        <f t="shared" si="44"/>
        <v>0</v>
      </c>
      <c r="AG220" s="64" t="s">
        <v>26</v>
      </c>
      <c r="AH220" s="64">
        <f t="shared" si="45"/>
        <v>0</v>
      </c>
      <c r="AI220" s="65">
        <f t="shared" si="45"/>
        <v>0</v>
      </c>
      <c r="AJ220" s="64" t="str">
        <f t="shared" si="46"/>
        <v/>
      </c>
      <c r="AK220" s="64" t="str">
        <f t="shared" si="47"/>
        <v/>
      </c>
      <c r="AL220" s="66"/>
      <c r="AM220" s="66"/>
    </row>
    <row r="221" spans="1:39" s="67" customFormat="1" ht="24" hidden="1" customHeight="1" x14ac:dyDescent="0.15">
      <c r="A221" s="146">
        <v>206</v>
      </c>
      <c r="B221" s="121"/>
      <c r="C221" s="419"/>
      <c r="D221" s="419"/>
      <c r="E221" s="464"/>
      <c r="F221" s="464"/>
      <c r="G221" s="352"/>
      <c r="H221" s="351"/>
      <c r="I221" s="351"/>
      <c r="J221" s="352"/>
      <c r="K221" s="355"/>
      <c r="L221" s="420"/>
      <c r="M221" s="420"/>
      <c r="N221" s="528"/>
      <c r="O221" s="528"/>
      <c r="P221" s="322"/>
      <c r="Q221" s="322"/>
      <c r="R221" s="322"/>
      <c r="S221" s="264"/>
      <c r="T221" s="64" t="s">
        <v>32</v>
      </c>
      <c r="U221" s="68">
        <f>COUNTIF(D216:D235,"천")</f>
        <v>0</v>
      </c>
      <c r="V221" s="69">
        <f>COUNTIF(I216:I235,"천")</f>
        <v>0</v>
      </c>
      <c r="W221" s="64" t="s">
        <v>26</v>
      </c>
      <c r="X221" s="64">
        <f>SUMIF(D216:D235,"천",F216:F235)</f>
        <v>0</v>
      </c>
      <c r="Y221" s="65">
        <f>SUMIF(I216:I235,"천",K216:K235)</f>
        <v>0</v>
      </c>
      <c r="Z221" s="10">
        <f>COUNTIF(AJ216:AJ235,"천국")+COUNTIF(AJ216:AJ235,"천공")</f>
        <v>0</v>
      </c>
      <c r="AA221" s="42">
        <f>COUNTIF(AK216:AK235,"천국")+COUNTIF(AK216:AK235,"천공")</f>
        <v>0</v>
      </c>
      <c r="AB221" s="10" t="s">
        <v>26</v>
      </c>
      <c r="AC221" s="10">
        <f>SUMIF(AJ216:AJ235,"천국",F216:F235)+SUMIF(AJ216:AJ235,"천공",F216:F235)</f>
        <v>0</v>
      </c>
      <c r="AD221" s="42">
        <f>SUMIF(AK216:AK235,"천국",K216:K235)+SUMIF(AK216:AK235,"천공",K216:K235)</f>
        <v>0</v>
      </c>
      <c r="AE221" s="64">
        <f t="shared" si="44"/>
        <v>0</v>
      </c>
      <c r="AF221" s="65">
        <f t="shared" si="44"/>
        <v>0</v>
      </c>
      <c r="AG221" s="64" t="s">
        <v>26</v>
      </c>
      <c r="AH221" s="64">
        <f t="shared" si="45"/>
        <v>0</v>
      </c>
      <c r="AI221" s="65">
        <f t="shared" si="45"/>
        <v>0</v>
      </c>
      <c r="AJ221" s="64" t="str">
        <f t="shared" si="46"/>
        <v/>
      </c>
      <c r="AK221" s="64" t="str">
        <f t="shared" si="47"/>
        <v/>
      </c>
      <c r="AL221" s="66"/>
      <c r="AM221" s="66"/>
    </row>
    <row r="222" spans="1:39" s="67" customFormat="1" ht="24" hidden="1" customHeight="1" x14ac:dyDescent="0.15">
      <c r="A222" s="146">
        <v>207</v>
      </c>
      <c r="B222" s="121"/>
      <c r="C222" s="419"/>
      <c r="D222" s="419"/>
      <c r="E222" s="464"/>
      <c r="F222" s="464"/>
      <c r="G222" s="352"/>
      <c r="H222" s="351"/>
      <c r="I222" s="351"/>
      <c r="J222" s="352"/>
      <c r="K222" s="355"/>
      <c r="L222" s="420"/>
      <c r="M222" s="420"/>
      <c r="N222" s="528"/>
      <c r="O222" s="528"/>
      <c r="P222" s="322"/>
      <c r="Q222" s="322"/>
      <c r="R222" s="322"/>
      <c r="S222" s="264"/>
      <c r="T222" s="64" t="s">
        <v>33</v>
      </c>
      <c r="U222" s="64">
        <f>COUNTIF(D216:D235,"구")</f>
        <v>0</v>
      </c>
      <c r="V222" s="65">
        <f>COUNTIF(I216:I235,"구")</f>
        <v>0</v>
      </c>
      <c r="W222" s="64" t="s">
        <v>26</v>
      </c>
      <c r="X222" s="64">
        <f>SUMIF(D216:D235,"구",F216:F235)</f>
        <v>0</v>
      </c>
      <c r="Y222" s="65">
        <f>SUMIF(I216:I235,"구",K216:K235)</f>
        <v>0</v>
      </c>
      <c r="Z222" s="10">
        <f>COUNTIF(AJ216:AJ235,"구국")+COUNTIF(AJ216:AJ235,"구공")</f>
        <v>0</v>
      </c>
      <c r="AA222" s="42">
        <f>COUNTIF(AK216:AK235,"구국")+COUNTIF(AK216:AK235,"구공")</f>
        <v>0</v>
      </c>
      <c r="AB222" s="10" t="s">
        <v>26</v>
      </c>
      <c r="AC222" s="10">
        <f>SUMIF(AJ216:AJ235,"구국",F216:F235)+SUMIF(AJ216:AJ235,"구공",F216:F235)</f>
        <v>0</v>
      </c>
      <c r="AD222" s="42">
        <f>SUMIF(AK216:AK235,"구국",K216:K235)+SUMIF(AK216:AK235,"구공",K216:K235)</f>
        <v>0</v>
      </c>
      <c r="AE222" s="64">
        <f t="shared" si="44"/>
        <v>0</v>
      </c>
      <c r="AF222" s="65">
        <f t="shared" si="44"/>
        <v>0</v>
      </c>
      <c r="AG222" s="64" t="s">
        <v>26</v>
      </c>
      <c r="AH222" s="64">
        <f t="shared" si="45"/>
        <v>0</v>
      </c>
      <c r="AI222" s="65">
        <f t="shared" si="45"/>
        <v>0</v>
      </c>
      <c r="AJ222" s="64" t="str">
        <f t="shared" si="46"/>
        <v/>
      </c>
      <c r="AK222" s="64" t="str">
        <f t="shared" si="47"/>
        <v/>
      </c>
      <c r="AL222" s="66"/>
      <c r="AM222" s="66"/>
    </row>
    <row r="223" spans="1:39" s="67" customFormat="1" ht="24" hidden="1" customHeight="1" x14ac:dyDescent="0.15">
      <c r="A223" s="146">
        <v>208</v>
      </c>
      <c r="B223" s="121"/>
      <c r="C223" s="419"/>
      <c r="D223" s="419"/>
      <c r="E223" s="464"/>
      <c r="F223" s="464"/>
      <c r="G223" s="352"/>
      <c r="H223" s="351"/>
      <c r="I223" s="351"/>
      <c r="J223" s="352"/>
      <c r="K223" s="355"/>
      <c r="L223" s="420"/>
      <c r="M223" s="420"/>
      <c r="N223" s="528"/>
      <c r="O223" s="567"/>
      <c r="P223" s="322"/>
      <c r="Q223" s="322"/>
      <c r="R223" s="322"/>
      <c r="S223" s="264"/>
      <c r="T223" s="64" t="s">
        <v>34</v>
      </c>
      <c r="U223" s="64">
        <f>COUNTIF(D216:D235,"제")</f>
        <v>0</v>
      </c>
      <c r="V223" s="65">
        <f>COUNTIF(I216:I235,"제")</f>
        <v>0</v>
      </c>
      <c r="W223" s="64" t="s">
        <v>26</v>
      </c>
      <c r="X223" s="64">
        <f>SUMIF(D216:D235,"제",F216:F235)</f>
        <v>0</v>
      </c>
      <c r="Y223" s="65">
        <f>SUMIF(I216:I235,"제",K216:K235)</f>
        <v>0</v>
      </c>
      <c r="Z223" s="10">
        <f>COUNTIF(AJ216:AJ235,"제국")+COUNTIF(AJ216:AJ235,"제공")</f>
        <v>0</v>
      </c>
      <c r="AA223" s="42">
        <f>COUNTIF(AK216:AK235,"제국")+COUNTIF(AK216:AK235,"제공")</f>
        <v>0</v>
      </c>
      <c r="AB223" s="10" t="s">
        <v>26</v>
      </c>
      <c r="AC223" s="10">
        <f>SUMIF(AJ216:AJ235,"제국",F216:F235)+SUMIF(AJ216:AJ235,"제공",F216:F235)</f>
        <v>0</v>
      </c>
      <c r="AD223" s="42">
        <f>SUMIF(AK216:AK235,"제국",K216:K235)+SUMIF(AK216:AK235,"제공",K216:K235)</f>
        <v>0</v>
      </c>
      <c r="AE223" s="64">
        <f t="shared" si="44"/>
        <v>0</v>
      </c>
      <c r="AF223" s="65">
        <f t="shared" si="44"/>
        <v>0</v>
      </c>
      <c r="AG223" s="64" t="s">
        <v>26</v>
      </c>
      <c r="AH223" s="64">
        <f t="shared" si="45"/>
        <v>0</v>
      </c>
      <c r="AI223" s="65">
        <f t="shared" si="45"/>
        <v>0</v>
      </c>
      <c r="AJ223" s="64" t="str">
        <f t="shared" si="46"/>
        <v/>
      </c>
      <c r="AK223" s="64" t="str">
        <f t="shared" si="47"/>
        <v/>
      </c>
      <c r="AL223" s="66"/>
      <c r="AM223" s="66"/>
    </row>
    <row r="224" spans="1:39" s="67" customFormat="1" ht="24" hidden="1" customHeight="1" x14ac:dyDescent="0.15">
      <c r="A224" s="146">
        <v>209</v>
      </c>
      <c r="B224" s="121"/>
      <c r="C224" s="581"/>
      <c r="D224" s="581"/>
      <c r="E224" s="582"/>
      <c r="F224" s="582"/>
      <c r="G224" s="583"/>
      <c r="H224" s="584"/>
      <c r="I224" s="584"/>
      <c r="J224" s="583"/>
      <c r="K224" s="585"/>
      <c r="L224" s="586"/>
      <c r="M224" s="586"/>
      <c r="N224" s="587"/>
      <c r="O224" s="587"/>
      <c r="P224" s="589"/>
      <c r="Q224" s="589"/>
      <c r="R224" s="589"/>
      <c r="S224" s="264"/>
      <c r="T224" s="64" t="s">
        <v>46</v>
      </c>
      <c r="U224" s="64">
        <f>COUNTIF(D216:D235,"유")</f>
        <v>0</v>
      </c>
      <c r="V224" s="65">
        <f>COUNTIF(I216:I235,"유")</f>
        <v>0</v>
      </c>
      <c r="W224" s="64" t="s">
        <v>26</v>
      </c>
      <c r="X224" s="64">
        <f>SUMIF(D216:D235,"유",F216:F235)</f>
        <v>0</v>
      </c>
      <c r="Y224" s="65">
        <f>SUMIF(I216:I235,"유",K216:K235)</f>
        <v>0</v>
      </c>
      <c r="Z224" s="10">
        <f>COUNTIF(AJ216:AJ235,"유국")+COUNTIF(AJ216:AJ235,"유공")</f>
        <v>0</v>
      </c>
      <c r="AA224" s="42">
        <f>COUNTIF(AK216:AK235,"유국")+COUNTIF(AK216:AK235,"유공")</f>
        <v>0</v>
      </c>
      <c r="AB224" s="10" t="s">
        <v>26</v>
      </c>
      <c r="AC224" s="10">
        <f>SUMIF(AJ216:AJ235,"유국",F216:F235)+SUMIF(AJ216:AJ235,"유공",F216:F235)</f>
        <v>0</v>
      </c>
      <c r="AD224" s="42">
        <f>SUMIF(AK216:AK235,"유국",K216:K235)+SUMIF(AK216:AK235,"유공",K216:K235)</f>
        <v>0</v>
      </c>
      <c r="AE224" s="64">
        <f t="shared" si="44"/>
        <v>0</v>
      </c>
      <c r="AF224" s="65">
        <f t="shared" si="44"/>
        <v>0</v>
      </c>
      <c r="AG224" s="64" t="s">
        <v>26</v>
      </c>
      <c r="AH224" s="64">
        <f t="shared" si="45"/>
        <v>0</v>
      </c>
      <c r="AI224" s="65">
        <f t="shared" si="45"/>
        <v>0</v>
      </c>
      <c r="AJ224" s="64" t="str">
        <f t="shared" si="46"/>
        <v/>
      </c>
      <c r="AK224" s="64" t="str">
        <f t="shared" si="47"/>
        <v/>
      </c>
      <c r="AL224" s="66"/>
      <c r="AM224" s="66"/>
    </row>
    <row r="225" spans="1:39" s="67" customFormat="1" ht="24" hidden="1" customHeight="1" x14ac:dyDescent="0.15">
      <c r="A225" s="146">
        <v>210</v>
      </c>
      <c r="B225" s="121"/>
      <c r="C225" s="419"/>
      <c r="D225" s="419"/>
      <c r="E225" s="464"/>
      <c r="F225" s="464"/>
      <c r="G225" s="352"/>
      <c r="H225" s="351"/>
      <c r="I225" s="351"/>
      <c r="J225" s="352"/>
      <c r="K225" s="355"/>
      <c r="L225" s="420"/>
      <c r="M225" s="532"/>
      <c r="N225" s="528"/>
      <c r="O225" s="528"/>
      <c r="P225" s="106"/>
      <c r="Q225" s="106"/>
      <c r="R225" s="106"/>
      <c r="S225" s="264"/>
      <c r="T225" s="64" t="s">
        <v>47</v>
      </c>
      <c r="U225" s="64">
        <f>COUNTIF(D216:D235,"과")</f>
        <v>0</v>
      </c>
      <c r="V225" s="65">
        <f>COUNTIF(I216:I235,"과")</f>
        <v>0</v>
      </c>
      <c r="W225" s="64" t="s">
        <v>26</v>
      </c>
      <c r="X225" s="64">
        <f>SUMIF(D216:D235,"과",F216:F235)</f>
        <v>0</v>
      </c>
      <c r="Y225" s="65">
        <f>SUMIF(I216:I235,"과",K216:K235)</f>
        <v>0</v>
      </c>
      <c r="Z225" s="10">
        <f>COUNTIF(AJ216:AJ235,"과국")+COUNTIF(AJ216:AJ235,"과공")</f>
        <v>0</v>
      </c>
      <c r="AA225" s="42">
        <f>COUNTIF(AK216:AK235,"과국")+COUNTIF(AK216:AK235,"과공")</f>
        <v>0</v>
      </c>
      <c r="AB225" s="10" t="s">
        <v>26</v>
      </c>
      <c r="AC225" s="10">
        <f>SUMIF(AJ216:AJ235,"과국",F216:F235)+SUMIF(AJ216:AJ235,"과공",F216:F235)</f>
        <v>0</v>
      </c>
      <c r="AD225" s="42">
        <f>SUMIF(AK216:AK235,"과국",K216:K235)+SUMIF(AK216:AK235,"과공",K216:K235)</f>
        <v>0</v>
      </c>
      <c r="AE225" s="64">
        <f t="shared" si="44"/>
        <v>0</v>
      </c>
      <c r="AF225" s="65">
        <f t="shared" si="44"/>
        <v>0</v>
      </c>
      <c r="AG225" s="64" t="s">
        <v>26</v>
      </c>
      <c r="AH225" s="64">
        <f t="shared" si="45"/>
        <v>0</v>
      </c>
      <c r="AI225" s="65">
        <f t="shared" si="45"/>
        <v>0</v>
      </c>
      <c r="AJ225" s="64" t="str">
        <f t="shared" si="46"/>
        <v/>
      </c>
      <c r="AK225" s="64" t="str">
        <f t="shared" si="47"/>
        <v/>
      </c>
      <c r="AL225" s="66"/>
      <c r="AM225" s="66"/>
    </row>
    <row r="226" spans="1:39" s="67" customFormat="1" ht="24" hidden="1" customHeight="1" x14ac:dyDescent="0.15">
      <c r="A226" s="146">
        <v>211</v>
      </c>
      <c r="B226" s="121"/>
      <c r="C226" s="419"/>
      <c r="D226" s="419"/>
      <c r="E226" s="464"/>
      <c r="F226" s="464"/>
      <c r="G226" s="352"/>
      <c r="H226" s="351"/>
      <c r="I226" s="351"/>
      <c r="J226" s="352"/>
      <c r="K226" s="355"/>
      <c r="L226" s="420"/>
      <c r="M226" s="420"/>
      <c r="N226" s="528"/>
      <c r="O226" s="528"/>
      <c r="P226" s="322"/>
      <c r="Q226" s="322"/>
      <c r="R226" s="322"/>
      <c r="S226" s="264"/>
      <c r="T226" s="64" t="s">
        <v>36</v>
      </c>
      <c r="U226" s="64">
        <f>COUNTIF(D216:D235,"묘")</f>
        <v>0</v>
      </c>
      <c r="V226" s="65">
        <f>COUNTIF(I216:I235,"묘")</f>
        <v>0</v>
      </c>
      <c r="W226" s="64" t="s">
        <v>26</v>
      </c>
      <c r="X226" s="64">
        <f>SUMIF(D216:D235,"묘",F216:F235)</f>
        <v>0</v>
      </c>
      <c r="Y226" s="65">
        <f>SUMIF(I216:I235,"묘",K216:K235)</f>
        <v>0</v>
      </c>
      <c r="Z226" s="10">
        <f>COUNTIF(AJ216:AJ235,"묘국")+COUNTIF(AJ216:AJ235,"묘공")</f>
        <v>0</v>
      </c>
      <c r="AA226" s="42">
        <f>COUNTIF(AK216:AK235,"묘국")+COUNTIF(AK216:AK235,"묘공")</f>
        <v>0</v>
      </c>
      <c r="AB226" s="10" t="s">
        <v>26</v>
      </c>
      <c r="AC226" s="10">
        <f>SUMIF(AJ216:AJ235,"묘국",F216:F235)+SUMIF(AJ216:AJ235,"묘공",F216:F235)</f>
        <v>0</v>
      </c>
      <c r="AD226" s="42">
        <f>SUMIF(AK216:AK235,"묘국",K216:K235)+SUMIF(AK216:AK235,"묘공",K216:K235)</f>
        <v>0</v>
      </c>
      <c r="AE226" s="64">
        <f t="shared" si="44"/>
        <v>0</v>
      </c>
      <c r="AF226" s="65">
        <f t="shared" si="44"/>
        <v>0</v>
      </c>
      <c r="AG226" s="64" t="s">
        <v>26</v>
      </c>
      <c r="AH226" s="64">
        <f t="shared" si="45"/>
        <v>0</v>
      </c>
      <c r="AI226" s="65">
        <f t="shared" si="45"/>
        <v>0</v>
      </c>
      <c r="AJ226" s="64" t="str">
        <f t="shared" si="46"/>
        <v/>
      </c>
      <c r="AK226" s="64" t="str">
        <f t="shared" si="47"/>
        <v/>
      </c>
      <c r="AL226" s="66"/>
      <c r="AM226" s="66"/>
    </row>
    <row r="227" spans="1:39" s="67" customFormat="1" ht="24" hidden="1" customHeight="1" x14ac:dyDescent="0.15">
      <c r="A227" s="146">
        <v>212</v>
      </c>
      <c r="B227" s="121"/>
      <c r="C227" s="419"/>
      <c r="D227" s="419"/>
      <c r="E227" s="464"/>
      <c r="F227" s="464"/>
      <c r="G227" s="352"/>
      <c r="H227" s="351"/>
      <c r="I227" s="351"/>
      <c r="J227" s="352"/>
      <c r="K227" s="355"/>
      <c r="L227" s="420"/>
      <c r="M227" s="420"/>
      <c r="N227" s="528"/>
      <c r="O227" s="528"/>
      <c r="P227" s="322"/>
      <c r="Q227" s="322"/>
      <c r="R227" s="322"/>
      <c r="S227" s="264"/>
      <c r="T227" s="64" t="s">
        <v>39</v>
      </c>
      <c r="U227" s="64">
        <f>COUNTIF(D216:D235,"수")</f>
        <v>0</v>
      </c>
      <c r="V227" s="65">
        <f>COUNTIF(I216:I235,"수")</f>
        <v>0</v>
      </c>
      <c r="W227" s="64" t="s">
        <v>26</v>
      </c>
      <c r="X227" s="64">
        <f>SUMIF(D216:D235,"수",F216:F235)</f>
        <v>0</v>
      </c>
      <c r="Y227" s="65">
        <f>SUMIF(I216:I235,"수",K216:K235)</f>
        <v>0</v>
      </c>
      <c r="Z227" s="10">
        <f>COUNTIF(AJ216:AJ235,"수국")+COUNTIF(AJ216:AJ235,"수공")</f>
        <v>0</v>
      </c>
      <c r="AA227" s="42">
        <f>COUNTIF(AK216:AK235,"수국")+COUNTIF(AK216:AK235,"수공")</f>
        <v>0</v>
      </c>
      <c r="AB227" s="10" t="s">
        <v>26</v>
      </c>
      <c r="AC227" s="10">
        <f>SUMIF(AJ216:AJ235,"수국",F216:F235)+SUMIF(AJ216:AJ235,"수공",F216:F235)</f>
        <v>0</v>
      </c>
      <c r="AD227" s="42">
        <f>SUMIF(AK216:AK235,"수국",K216:K235)+SUMIF(AK216:AK235,"수공",K216:K235)</f>
        <v>0</v>
      </c>
      <c r="AE227" s="64">
        <f t="shared" si="44"/>
        <v>0</v>
      </c>
      <c r="AF227" s="65">
        <f t="shared" si="44"/>
        <v>0</v>
      </c>
      <c r="AG227" s="64" t="s">
        <v>26</v>
      </c>
      <c r="AH227" s="64">
        <f t="shared" si="45"/>
        <v>0</v>
      </c>
      <c r="AI227" s="65">
        <f t="shared" si="45"/>
        <v>0</v>
      </c>
      <c r="AJ227" s="64" t="str">
        <f t="shared" si="46"/>
        <v/>
      </c>
      <c r="AK227" s="64" t="str">
        <f t="shared" si="47"/>
        <v/>
      </c>
      <c r="AL227" s="66"/>
      <c r="AM227" s="66"/>
    </row>
    <row r="228" spans="1:39" s="67" customFormat="1" ht="24" hidden="1" customHeight="1" x14ac:dyDescent="0.15">
      <c r="A228" s="146">
        <v>213</v>
      </c>
      <c r="B228" s="121"/>
      <c r="C228" s="419"/>
      <c r="D228" s="419"/>
      <c r="E228" s="464"/>
      <c r="F228" s="464"/>
      <c r="G228" s="352"/>
      <c r="H228" s="351"/>
      <c r="I228" s="351"/>
      <c r="J228" s="352"/>
      <c r="K228" s="355"/>
      <c r="L228" s="314"/>
      <c r="M228" s="420"/>
      <c r="N228" s="453"/>
      <c r="O228" s="528"/>
      <c r="P228" s="322"/>
      <c r="Q228" s="322"/>
      <c r="R228" s="322"/>
      <c r="S228" s="264"/>
      <c r="T228" s="64" t="s">
        <v>35</v>
      </c>
      <c r="U228" s="64">
        <f>COUNTIF(D216:D235,"잡")</f>
        <v>0</v>
      </c>
      <c r="V228" s="65">
        <f>COUNTIF(I216:I235,"잡")</f>
        <v>0</v>
      </c>
      <c r="W228" s="64" t="s">
        <v>26</v>
      </c>
      <c r="X228" s="64">
        <f>SUMIF(D216:D235,"잡",F216:F235)</f>
        <v>0</v>
      </c>
      <c r="Y228" s="65">
        <f>SUMIF(I216:I235,"잡",K216:K235)</f>
        <v>0</v>
      </c>
      <c r="Z228" s="10">
        <f>COUNTIF(AJ216:AJ235,"잡국")+COUNTIF(AJ216:AJ235,"잡공")</f>
        <v>0</v>
      </c>
      <c r="AA228" s="42">
        <f>COUNTIF(AK216:AK235,"잡국")+COUNTIF(AK216:AK235,"잡공")</f>
        <v>0</v>
      </c>
      <c r="AB228" s="10" t="s">
        <v>26</v>
      </c>
      <c r="AC228" s="10">
        <f>SUMIF(AJ216:AJ235,"잡국",F216:F235)+SUMIF(AJ216:AJ235,"잡공",F216:F235)</f>
        <v>0</v>
      </c>
      <c r="AD228" s="42">
        <f>SUMIF(AK216:AK235,"잡국",K216:K235)+SUMIF(AK216:AK235,"잡공",K216:K235)</f>
        <v>0</v>
      </c>
      <c r="AE228" s="64">
        <f t="shared" si="44"/>
        <v>0</v>
      </c>
      <c r="AF228" s="65">
        <f t="shared" si="44"/>
        <v>0</v>
      </c>
      <c r="AG228" s="64" t="s">
        <v>26</v>
      </c>
      <c r="AH228" s="64">
        <f t="shared" si="45"/>
        <v>0</v>
      </c>
      <c r="AI228" s="65">
        <f t="shared" si="45"/>
        <v>0</v>
      </c>
      <c r="AJ228" s="64" t="str">
        <f t="shared" si="46"/>
        <v/>
      </c>
      <c r="AK228" s="64" t="str">
        <f t="shared" si="47"/>
        <v/>
      </c>
      <c r="AL228" s="66"/>
      <c r="AM228" s="66"/>
    </row>
    <row r="229" spans="1:39" s="67" customFormat="1" ht="24" hidden="1" customHeight="1" x14ac:dyDescent="0.15">
      <c r="A229" s="146">
        <v>214</v>
      </c>
      <c r="B229" s="121"/>
      <c r="C229" s="419"/>
      <c r="D229" s="419"/>
      <c r="E229" s="464"/>
      <c r="F229" s="464"/>
      <c r="G229" s="356"/>
      <c r="H229" s="351"/>
      <c r="I229" s="351"/>
      <c r="J229" s="356"/>
      <c r="K229" s="355"/>
      <c r="L229" s="420"/>
      <c r="M229" s="420"/>
      <c r="N229" s="528"/>
      <c r="O229" s="528"/>
      <c r="P229" s="322"/>
      <c r="Q229" s="322"/>
      <c r="R229" s="322"/>
      <c r="S229" s="264"/>
      <c r="T229" s="64" t="s">
        <v>51</v>
      </c>
      <c r="U229" s="64">
        <f>COUNTIF(D216:D235,"체")</f>
        <v>0</v>
      </c>
      <c r="V229" s="65">
        <f>COUNTIF(I216:I235,"체")</f>
        <v>0</v>
      </c>
      <c r="W229" s="64" t="s">
        <v>26</v>
      </c>
      <c r="X229" s="64">
        <f>SUMIF(D216:D235,"체",F216:F235)</f>
        <v>0</v>
      </c>
      <c r="Y229" s="65">
        <f>SUMIF(I216:I235,"체",K216:K235)</f>
        <v>0</v>
      </c>
      <c r="Z229" s="10">
        <f>COUNTIF(AJ216:AJ235,"체국")+COUNTIF(AJ216:AJ235,"체공")</f>
        <v>0</v>
      </c>
      <c r="AA229" s="42">
        <f>COUNTIF(AK216:AK235,"체국")+COUNTIF(AK216:AK235,"체공")</f>
        <v>0</v>
      </c>
      <c r="AB229" s="10" t="s">
        <v>26</v>
      </c>
      <c r="AC229" s="10">
        <f>SUMIF(AJ216:AJ235,"체국",F216:F235)+SUMIF(AJ216:AJ235,"체공",F216:F235)</f>
        <v>0</v>
      </c>
      <c r="AD229" s="42">
        <f>SUMIF(AK216:AK235,"체국",K216:K235)+SUMIF(AK216:AK235,"체공",K216:K235)</f>
        <v>0</v>
      </c>
      <c r="AE229" s="64">
        <f t="shared" si="44"/>
        <v>0</v>
      </c>
      <c r="AF229" s="65">
        <f t="shared" si="44"/>
        <v>0</v>
      </c>
      <c r="AG229" s="64" t="s">
        <v>26</v>
      </c>
      <c r="AH229" s="64">
        <f t="shared" si="45"/>
        <v>0</v>
      </c>
      <c r="AI229" s="65">
        <f t="shared" si="45"/>
        <v>0</v>
      </c>
      <c r="AJ229" s="64" t="str">
        <f t="shared" si="46"/>
        <v/>
      </c>
      <c r="AK229" s="64" t="str">
        <f t="shared" si="47"/>
        <v/>
      </c>
      <c r="AL229" s="66"/>
      <c r="AM229" s="66"/>
    </row>
    <row r="230" spans="1:39" s="67" customFormat="1" ht="24" hidden="1" customHeight="1" x14ac:dyDescent="0.15">
      <c r="A230" s="146">
        <v>215</v>
      </c>
      <c r="B230" s="121"/>
      <c r="C230" s="419"/>
      <c r="D230" s="419"/>
      <c r="E230" s="464"/>
      <c r="F230" s="464"/>
      <c r="G230" s="352"/>
      <c r="H230" s="351"/>
      <c r="I230" s="351"/>
      <c r="J230" s="352"/>
      <c r="K230" s="355"/>
      <c r="L230" s="314"/>
      <c r="M230" s="420"/>
      <c r="N230" s="453"/>
      <c r="O230" s="528"/>
      <c r="P230" s="322"/>
      <c r="Q230" s="322"/>
      <c r="R230" s="322"/>
      <c r="S230" s="264"/>
      <c r="T230" s="64" t="s">
        <v>50</v>
      </c>
      <c r="U230" s="64">
        <f>COUNTIF(D216:D235,"공")</f>
        <v>0</v>
      </c>
      <c r="V230" s="65">
        <f>COUNTIF(I216:I235,"공")</f>
        <v>0</v>
      </c>
      <c r="W230" s="64" t="s">
        <v>26</v>
      </c>
      <c r="X230" s="64">
        <f>SUMIF(D216:D235,"공",F216:F235)</f>
        <v>0</v>
      </c>
      <c r="Y230" s="65">
        <f>SUMIF(I216:I235,"공",K216:K235)</f>
        <v>0</v>
      </c>
      <c r="Z230" s="10">
        <f>COUNTIF(AJ216:AJ235,"공국")+COUNTIF(AJ216:AJ235,"공공")</f>
        <v>0</v>
      </c>
      <c r="AA230" s="42">
        <f>COUNTIF(AK216:AK235,"공국")+COUNTIF(AK216:AK235,"공공")</f>
        <v>0</v>
      </c>
      <c r="AB230" s="10" t="s">
        <v>26</v>
      </c>
      <c r="AC230" s="10">
        <f>SUMIF(AJ216:AJ235,"공국",F216:F235)+SUMIF(AJ216:AJ235,"공공",F216:F235)</f>
        <v>0</v>
      </c>
      <c r="AD230" s="42">
        <f>SUMIF(AK216:AK235,"공국",K216:K235)+SUMIF(AK216:AK235,"공공",K216:K235)</f>
        <v>0</v>
      </c>
      <c r="AE230" s="64">
        <f t="shared" si="44"/>
        <v>0</v>
      </c>
      <c r="AF230" s="65">
        <f t="shared" si="44"/>
        <v>0</v>
      </c>
      <c r="AG230" s="64" t="s">
        <v>26</v>
      </c>
      <c r="AH230" s="64">
        <f t="shared" si="45"/>
        <v>0</v>
      </c>
      <c r="AI230" s="65">
        <f t="shared" si="45"/>
        <v>0</v>
      </c>
      <c r="AJ230" s="64" t="str">
        <f t="shared" si="46"/>
        <v/>
      </c>
      <c r="AK230" s="64" t="str">
        <f t="shared" si="47"/>
        <v/>
      </c>
      <c r="AL230" s="66"/>
      <c r="AM230" s="66"/>
    </row>
    <row r="231" spans="1:39" s="67" customFormat="1" ht="24" hidden="1" customHeight="1" x14ac:dyDescent="0.15">
      <c r="A231" s="146">
        <v>216</v>
      </c>
      <c r="B231" s="121"/>
      <c r="C231" s="419"/>
      <c r="D231" s="419"/>
      <c r="E231" s="464"/>
      <c r="F231" s="464"/>
      <c r="G231" s="352"/>
      <c r="H231" s="351"/>
      <c r="I231" s="351"/>
      <c r="J231" s="352"/>
      <c r="K231" s="355"/>
      <c r="L231" s="420"/>
      <c r="M231" s="420"/>
      <c r="N231" s="528"/>
      <c r="O231" s="528"/>
      <c r="P231" s="322"/>
      <c r="Q231" s="322"/>
      <c r="R231" s="322"/>
      <c r="S231" s="264"/>
      <c r="T231" s="70" t="s">
        <v>40</v>
      </c>
      <c r="U231" s="64">
        <f>COUNTIF(D216:D235,"장")</f>
        <v>0</v>
      </c>
      <c r="V231" s="65">
        <f>COUNTIF(I216:I235,"장")</f>
        <v>0</v>
      </c>
      <c r="W231" s="64" t="s">
        <v>26</v>
      </c>
      <c r="X231" s="64">
        <f>SUMIF(D216:D235,"장",F216:F235)</f>
        <v>0</v>
      </c>
      <c r="Y231" s="65">
        <f>SUMIF(I216:I235,"장",K216:K235)</f>
        <v>0</v>
      </c>
      <c r="Z231" s="10">
        <f>COUNTIF(AJ216:AJ235,"장국")+COUNTIF(AJ216:AJ235,"장공")</f>
        <v>0</v>
      </c>
      <c r="AA231" s="42">
        <f>COUNTIF(AK216:AK235,"장국")+COUNTIF(AK216:AK235,"장공")</f>
        <v>0</v>
      </c>
      <c r="AB231" s="10" t="s">
        <v>26</v>
      </c>
      <c r="AC231" s="10">
        <f>SUMIF(AJ216:AJ235,"장국",F216:F235)+SUMIF(AJ216:AJ235,"장공",F216:F235)</f>
        <v>0</v>
      </c>
      <c r="AD231" s="42">
        <f>SUMIF(AK216:AK235,"장국",K216:K235)+SUMIF(AK216:AK235,"장공",K216:K235)</f>
        <v>0</v>
      </c>
      <c r="AE231" s="64">
        <f t="shared" si="44"/>
        <v>0</v>
      </c>
      <c r="AF231" s="65">
        <f t="shared" si="44"/>
        <v>0</v>
      </c>
      <c r="AG231" s="64" t="s">
        <v>26</v>
      </c>
      <c r="AH231" s="64">
        <f t="shared" si="45"/>
        <v>0</v>
      </c>
      <c r="AI231" s="65">
        <f t="shared" si="45"/>
        <v>0</v>
      </c>
      <c r="AJ231" s="64" t="str">
        <f t="shared" si="46"/>
        <v/>
      </c>
      <c r="AK231" s="64" t="str">
        <f t="shared" si="47"/>
        <v/>
      </c>
      <c r="AL231" s="66"/>
      <c r="AM231" s="66"/>
    </row>
    <row r="232" spans="1:39" s="67" customFormat="1" ht="24" hidden="1" customHeight="1" x14ac:dyDescent="0.15">
      <c r="A232" s="146">
        <v>217</v>
      </c>
      <c r="B232" s="121"/>
      <c r="C232" s="419"/>
      <c r="D232" s="419"/>
      <c r="E232" s="464"/>
      <c r="F232" s="464"/>
      <c r="G232" s="352"/>
      <c r="H232" s="351"/>
      <c r="I232" s="351"/>
      <c r="J232" s="352"/>
      <c r="K232" s="355"/>
      <c r="L232" s="420"/>
      <c r="M232" s="420"/>
      <c r="N232" s="528"/>
      <c r="O232" s="528"/>
      <c r="P232" s="322"/>
      <c r="Q232" s="322"/>
      <c r="R232" s="322"/>
      <c r="S232" s="264"/>
      <c r="T232" s="70" t="s">
        <v>5</v>
      </c>
      <c r="U232" s="64">
        <f>COUNTIF(D216:D235,"목")</f>
        <v>0</v>
      </c>
      <c r="V232" s="65">
        <f>COUNTIF(I216:I235,"목")</f>
        <v>0</v>
      </c>
      <c r="W232" s="64" t="s">
        <v>26</v>
      </c>
      <c r="X232" s="64">
        <f>SUMIF(D216:D235,"목",F216:F235)</f>
        <v>0</v>
      </c>
      <c r="Y232" s="65">
        <f>SUMIF(I216:I235,"목",K216:K235)</f>
        <v>0</v>
      </c>
      <c r="Z232" s="10">
        <f>COUNTIF(AJ216:AJ235,"목국")+COUNTIF(AJ216:AJ235,"목공")</f>
        <v>0</v>
      </c>
      <c r="AA232" s="42">
        <f>COUNTIF(AK216:AK235,"목국")+COUNTIF(AK216:AK235,"목공")</f>
        <v>0</v>
      </c>
      <c r="AB232" s="10" t="s">
        <v>26</v>
      </c>
      <c r="AC232" s="10">
        <f>SUMIF(AJ216:AJ235,"목국",F216:F235)+SUMIF(AJ216:AJ235,"목공",F216:F235)</f>
        <v>0</v>
      </c>
      <c r="AD232" s="42">
        <f>SUMIF(AK216:AK235,"목국",K216:K235)+SUMIF(AK216:AK235,"목공",K216:K235)</f>
        <v>0</v>
      </c>
      <c r="AE232" s="64">
        <f t="shared" si="44"/>
        <v>0</v>
      </c>
      <c r="AF232" s="65">
        <f t="shared" si="44"/>
        <v>0</v>
      </c>
      <c r="AG232" s="64" t="s">
        <v>26</v>
      </c>
      <c r="AH232" s="64">
        <f t="shared" si="45"/>
        <v>0</v>
      </c>
      <c r="AI232" s="65">
        <f t="shared" si="45"/>
        <v>0</v>
      </c>
      <c r="AJ232" s="64" t="str">
        <f t="shared" si="46"/>
        <v/>
      </c>
      <c r="AK232" s="64" t="str">
        <f t="shared" si="47"/>
        <v/>
      </c>
      <c r="AL232" s="66"/>
      <c r="AM232" s="66"/>
    </row>
    <row r="233" spans="1:39" s="67" customFormat="1" ht="24" hidden="1" customHeight="1" x14ac:dyDescent="0.15">
      <c r="A233" s="146">
        <v>218</v>
      </c>
      <c r="B233" s="121"/>
      <c r="C233" s="120"/>
      <c r="D233" s="120"/>
      <c r="E233" s="104"/>
      <c r="F233" s="104"/>
      <c r="G233" s="508"/>
      <c r="H233" s="510"/>
      <c r="I233" s="510"/>
      <c r="J233" s="520"/>
      <c r="K233" s="355"/>
      <c r="L233" s="106"/>
      <c r="M233" s="106"/>
      <c r="N233" s="447"/>
      <c r="O233" s="528"/>
      <c r="P233" s="322"/>
      <c r="Q233" s="322"/>
      <c r="R233" s="322"/>
      <c r="S233" s="264"/>
      <c r="T233" s="70"/>
      <c r="U233" s="70"/>
      <c r="V233" s="71"/>
      <c r="W233" s="70"/>
      <c r="X233" s="70"/>
      <c r="Y233" s="71"/>
      <c r="Z233" s="10"/>
      <c r="AA233" s="42"/>
      <c r="AB233" s="11"/>
      <c r="AC233" s="10"/>
      <c r="AD233" s="42"/>
      <c r="AE233" s="70"/>
      <c r="AF233" s="71"/>
      <c r="AG233" s="70"/>
      <c r="AH233" s="70"/>
      <c r="AI233" s="71"/>
      <c r="AJ233" s="64" t="str">
        <f t="shared" si="46"/>
        <v/>
      </c>
      <c r="AK233" s="64" t="str">
        <f t="shared" si="47"/>
        <v/>
      </c>
      <c r="AL233" s="66"/>
      <c r="AM233" s="66"/>
    </row>
    <row r="234" spans="1:39" s="67" customFormat="1" ht="24" hidden="1" customHeight="1" x14ac:dyDescent="0.15">
      <c r="A234" s="146">
        <v>219</v>
      </c>
      <c r="B234" s="121"/>
      <c r="C234" s="419"/>
      <c r="D234" s="419"/>
      <c r="E234" s="464"/>
      <c r="F234" s="464"/>
      <c r="G234" s="356"/>
      <c r="H234" s="351"/>
      <c r="I234" s="351"/>
      <c r="J234" s="356"/>
      <c r="K234" s="355"/>
      <c r="L234" s="420"/>
      <c r="M234" s="420"/>
      <c r="N234" s="528"/>
      <c r="O234" s="528"/>
      <c r="P234" s="322"/>
      <c r="Q234" s="322"/>
      <c r="R234" s="322"/>
      <c r="S234" s="264"/>
      <c r="T234" s="70"/>
      <c r="U234" s="70"/>
      <c r="V234" s="71"/>
      <c r="W234" s="70"/>
      <c r="X234" s="70"/>
      <c r="Y234" s="71"/>
      <c r="Z234" s="10"/>
      <c r="AA234" s="42"/>
      <c r="AB234" s="11"/>
      <c r="AC234" s="10"/>
      <c r="AD234" s="42"/>
      <c r="AE234" s="70"/>
      <c r="AF234" s="71"/>
      <c r="AG234" s="70"/>
      <c r="AH234" s="70"/>
      <c r="AI234" s="71"/>
      <c r="AJ234" s="64" t="str">
        <f t="shared" si="46"/>
        <v/>
      </c>
      <c r="AK234" s="64" t="str">
        <f t="shared" si="47"/>
        <v/>
      </c>
      <c r="AL234" s="66"/>
      <c r="AM234" s="66"/>
    </row>
    <row r="235" spans="1:39" s="67" customFormat="1" ht="24" hidden="1" customHeight="1" x14ac:dyDescent="0.15">
      <c r="A235" s="146">
        <v>220</v>
      </c>
      <c r="B235" s="121"/>
      <c r="C235" s="419"/>
      <c r="D235" s="419"/>
      <c r="E235" s="464"/>
      <c r="F235" s="464"/>
      <c r="G235" s="352"/>
      <c r="H235" s="351"/>
      <c r="I235" s="351"/>
      <c r="J235" s="352"/>
      <c r="K235" s="355"/>
      <c r="L235" s="420"/>
      <c r="M235" s="420"/>
      <c r="N235" s="528"/>
      <c r="O235" s="528"/>
      <c r="P235" s="322"/>
      <c r="Q235" s="322"/>
      <c r="R235" s="322"/>
      <c r="S235" s="264"/>
      <c r="T235" s="72" t="s">
        <v>37</v>
      </c>
      <c r="U235" s="72">
        <f>COUNTIF(D216:D235,"철")</f>
        <v>0</v>
      </c>
      <c r="V235" s="73">
        <f>COUNTIF(I216:I235,"철")</f>
        <v>0</v>
      </c>
      <c r="W235" s="72" t="s">
        <v>26</v>
      </c>
      <c r="X235" s="72">
        <f>SUMIF(D216:D235,"철",F216:F235)</f>
        <v>0</v>
      </c>
      <c r="Y235" s="73">
        <f>SUMIF(I216:I235,"철",K216:K235)</f>
        <v>0</v>
      </c>
      <c r="Z235" s="10">
        <f>COUNTIF(AJ216:AJ235,"철국")+COUNTIF(AJ216:AJ235,"철공")</f>
        <v>0</v>
      </c>
      <c r="AA235" s="42">
        <f>COUNTIF(AK216:AK235,"철국")+COUNTIF(AK216:AK235,"철공")</f>
        <v>0</v>
      </c>
      <c r="AB235" s="12" t="s">
        <v>26</v>
      </c>
      <c r="AC235" s="10">
        <f>SUMIF(AJ216:AJ235,"철국",F216:F235)+SUMIF(AJ216:AJ235,"철공",F216:F235)</f>
        <v>0</v>
      </c>
      <c r="AD235" s="42">
        <f>SUMIF(AK216:AK235,"철국",K216:K235)+SUMIF(AK216:AK235,"철공",K216:K235)</f>
        <v>0</v>
      </c>
      <c r="AE235" s="72"/>
      <c r="AF235" s="73"/>
      <c r="AG235" s="72"/>
      <c r="AH235" s="72"/>
      <c r="AI235" s="73"/>
      <c r="AJ235" s="64" t="str">
        <f t="shared" si="46"/>
        <v/>
      </c>
      <c r="AK235" s="64" t="str">
        <f t="shared" si="47"/>
        <v/>
      </c>
      <c r="AL235" s="66"/>
      <c r="AM235" s="66"/>
    </row>
    <row r="236" spans="1:39" s="57" customFormat="1" ht="24" hidden="1" customHeight="1" thickBot="1" x14ac:dyDescent="0.2">
      <c r="A236" s="147" t="s">
        <v>48</v>
      </c>
      <c r="B236" s="148"/>
      <c r="C236" s="148"/>
      <c r="D236" s="148"/>
      <c r="E236" s="178"/>
      <c r="F236" s="149">
        <f>SUM(F216:F235)</f>
        <v>0</v>
      </c>
      <c r="G236" s="496"/>
      <c r="H236" s="496"/>
      <c r="I236" s="497"/>
      <c r="J236" s="552"/>
      <c r="K236" s="529">
        <f>SUM(K216:K235)</f>
        <v>0</v>
      </c>
      <c r="L236" s="150"/>
      <c r="M236" s="150"/>
      <c r="N236" s="432"/>
      <c r="O236" s="432"/>
      <c r="P236" s="150"/>
      <c r="Q236" s="150"/>
      <c r="R236" s="150"/>
      <c r="S236" s="151"/>
      <c r="T236" s="62" t="s">
        <v>24</v>
      </c>
      <c r="U236" s="63">
        <f t="shared" ref="U236:AA236" si="48">SUM(U216:U235)</f>
        <v>0</v>
      </c>
      <c r="V236" s="63">
        <f t="shared" si="48"/>
        <v>0</v>
      </c>
      <c r="W236" s="63">
        <f t="shared" si="48"/>
        <v>0</v>
      </c>
      <c r="X236" s="63">
        <f t="shared" si="48"/>
        <v>0</v>
      </c>
      <c r="Y236" s="63">
        <f t="shared" si="48"/>
        <v>0</v>
      </c>
      <c r="Z236" s="37">
        <f t="shared" si="48"/>
        <v>0</v>
      </c>
      <c r="AA236" s="43">
        <f t="shared" si="48"/>
        <v>0</v>
      </c>
      <c r="AB236" s="37" t="s">
        <v>26</v>
      </c>
      <c r="AC236" s="37">
        <f>SUM(AC216:AC235)</f>
        <v>0</v>
      </c>
      <c r="AD236" s="43">
        <f>SUM(AD216:AD235)</f>
        <v>0</v>
      </c>
      <c r="AE236" s="63">
        <f>SUM(AE216:AE235)</f>
        <v>0</v>
      </c>
      <c r="AF236" s="63">
        <f>SUM(AF216:AF235)</f>
        <v>0</v>
      </c>
      <c r="AG236" s="63" t="s">
        <v>26</v>
      </c>
      <c r="AH236" s="63">
        <f>SUM(AH216:AH235)</f>
        <v>0</v>
      </c>
      <c r="AI236" s="63">
        <f>SUM(AI216:AI235)</f>
        <v>0</v>
      </c>
      <c r="AJ236" s="63"/>
      <c r="AK236" s="64" t="str">
        <f>CONCATENATE(I236,N236)</f>
        <v/>
      </c>
    </row>
    <row r="237" spans="1:39" s="67" customFormat="1" ht="24" hidden="1" customHeight="1" x14ac:dyDescent="0.15">
      <c r="A237" s="139">
        <v>221</v>
      </c>
      <c r="B237" s="536"/>
      <c r="C237" s="553"/>
      <c r="D237" s="553"/>
      <c r="E237" s="554"/>
      <c r="F237" s="554"/>
      <c r="G237" s="555"/>
      <c r="H237" s="549"/>
      <c r="I237" s="549"/>
      <c r="J237" s="555"/>
      <c r="K237" s="551"/>
      <c r="L237" s="556"/>
      <c r="M237" s="556"/>
      <c r="N237" s="557"/>
      <c r="O237" s="557"/>
      <c r="P237" s="387"/>
      <c r="Q237" s="387"/>
      <c r="R237" s="387"/>
      <c r="S237" s="285"/>
      <c r="T237" s="64" t="s">
        <v>27</v>
      </c>
      <c r="U237" s="64">
        <f>COUNTIF(D237:D256,"전")</f>
        <v>0</v>
      </c>
      <c r="V237" s="65">
        <f>COUNTIF(I237:I256,"전")</f>
        <v>0</v>
      </c>
      <c r="W237" s="64" t="s">
        <v>26</v>
      </c>
      <c r="X237" s="64">
        <f>SUMIF(D237:D256,"전",F237:F256)</f>
        <v>0</v>
      </c>
      <c r="Y237" s="65">
        <f>SUMIF(I237:I256,"전",K237:K256)</f>
        <v>0</v>
      </c>
      <c r="Z237" s="10">
        <f>COUNTIF(AJ237:AJ256,"전국")+COUNTIF(AJ237:AJ256,"전공")</f>
        <v>0</v>
      </c>
      <c r="AA237" s="42">
        <f>COUNTIF(AK237:AK256,"전국")+COUNTIF(AK237:AK256,"전공")</f>
        <v>0</v>
      </c>
      <c r="AB237" s="10" t="s">
        <v>26</v>
      </c>
      <c r="AC237" s="10">
        <f>SUMIF(AJ237:AJ256,"전국",F237:F256)+SUMIF(AJ237:AJ256,"전공",F237:F256)</f>
        <v>0</v>
      </c>
      <c r="AD237" s="42">
        <f>SUMIF(AK237:AK256,"전국",K237:K256)+SUMIF(AK237:AK256,"전공",K237:K256)</f>
        <v>0</v>
      </c>
      <c r="AE237" s="64">
        <f t="shared" ref="AE237:AF253" si="49">U237-Z237</f>
        <v>0</v>
      </c>
      <c r="AF237" s="65">
        <f t="shared" si="49"/>
        <v>0</v>
      </c>
      <c r="AG237" s="64" t="s">
        <v>26</v>
      </c>
      <c r="AH237" s="64">
        <f t="shared" ref="AH237:AI253" si="50">X237-AC237</f>
        <v>0</v>
      </c>
      <c r="AI237" s="65">
        <f t="shared" si="50"/>
        <v>0</v>
      </c>
      <c r="AJ237" s="64" t="str">
        <f t="shared" ref="AJ237:AJ256" si="51">CONCATENATE(D237,L237)</f>
        <v/>
      </c>
      <c r="AK237" s="64" t="str">
        <f t="shared" ref="AK237:AK256" si="52">CONCATENATE(I237,L237)</f>
        <v/>
      </c>
      <c r="AL237" s="66"/>
      <c r="AM237" s="66"/>
    </row>
    <row r="238" spans="1:39" s="67" customFormat="1" ht="24" hidden="1" customHeight="1" x14ac:dyDescent="0.15">
      <c r="A238" s="146">
        <v>222</v>
      </c>
      <c r="B238" s="121"/>
      <c r="C238" s="419"/>
      <c r="D238" s="419"/>
      <c r="E238" s="464"/>
      <c r="F238" s="464"/>
      <c r="G238" s="352"/>
      <c r="H238" s="351"/>
      <c r="I238" s="351"/>
      <c r="J238" s="352"/>
      <c r="K238" s="355"/>
      <c r="L238" s="420"/>
      <c r="M238" s="420"/>
      <c r="N238" s="528"/>
      <c r="O238" s="528"/>
      <c r="P238" s="322"/>
      <c r="Q238" s="322"/>
      <c r="R238" s="322"/>
      <c r="S238" s="264"/>
      <c r="T238" s="64" t="s">
        <v>28</v>
      </c>
      <c r="U238" s="64">
        <f>COUNTIF(D237:D256,"답")</f>
        <v>0</v>
      </c>
      <c r="V238" s="65">
        <f>COUNTIF(I237:I256,"답")</f>
        <v>0</v>
      </c>
      <c r="W238" s="64" t="s">
        <v>26</v>
      </c>
      <c r="X238" s="64">
        <f>SUMIF(D237:D256,"답",F237:F256)</f>
        <v>0</v>
      </c>
      <c r="Y238" s="65">
        <f>SUMIF(I237:I256,"답",K237:K256)</f>
        <v>0</v>
      </c>
      <c r="Z238" s="10">
        <f>COUNTIF(AJ237:AJ256,"답국")+COUNTIF(AJ237:AJ256,"답공")</f>
        <v>0</v>
      </c>
      <c r="AA238" s="42">
        <f>COUNTIF(AK237:AK256,"답국")+COUNTIF(AK237:AK256,"답공")</f>
        <v>0</v>
      </c>
      <c r="AB238" s="10" t="s">
        <v>26</v>
      </c>
      <c r="AC238" s="10">
        <f>SUMIF(AJ237:AJ256,"답국",F237:F256)+SUMIF(AJ237:AJ256,"답공",F237:F256)</f>
        <v>0</v>
      </c>
      <c r="AD238" s="42">
        <f>SUMIF(AK237:AK256,"답국",K237:K256)+SUMIF(AK237:AK256,"답공",K237:K256)</f>
        <v>0</v>
      </c>
      <c r="AE238" s="64">
        <f t="shared" si="49"/>
        <v>0</v>
      </c>
      <c r="AF238" s="65">
        <f t="shared" si="49"/>
        <v>0</v>
      </c>
      <c r="AG238" s="64" t="s">
        <v>26</v>
      </c>
      <c r="AH238" s="64">
        <f t="shared" si="50"/>
        <v>0</v>
      </c>
      <c r="AI238" s="65">
        <f t="shared" si="50"/>
        <v>0</v>
      </c>
      <c r="AJ238" s="64" t="str">
        <f t="shared" si="51"/>
        <v/>
      </c>
      <c r="AK238" s="64" t="str">
        <f t="shared" si="52"/>
        <v/>
      </c>
      <c r="AL238" s="66"/>
      <c r="AM238" s="66"/>
    </row>
    <row r="239" spans="1:39" s="67" customFormat="1" ht="24" hidden="1" customHeight="1" x14ac:dyDescent="0.15">
      <c r="A239" s="146">
        <v>223</v>
      </c>
      <c r="B239" s="121"/>
      <c r="C239" s="419"/>
      <c r="D239" s="419"/>
      <c r="E239" s="464"/>
      <c r="F239" s="464"/>
      <c r="G239" s="352"/>
      <c r="H239" s="351"/>
      <c r="I239" s="351"/>
      <c r="J239" s="352"/>
      <c r="K239" s="355"/>
      <c r="L239" s="420"/>
      <c r="M239" s="420"/>
      <c r="N239" s="528"/>
      <c r="O239" s="528"/>
      <c r="P239" s="322"/>
      <c r="Q239" s="322"/>
      <c r="R239" s="322"/>
      <c r="S239" s="264"/>
      <c r="T239" s="64" t="s">
        <v>44</v>
      </c>
      <c r="U239" s="64">
        <f>COUNTIF(D237:D256,"임")</f>
        <v>0</v>
      </c>
      <c r="V239" s="65">
        <f>COUNTIF(I237:I256,"임")</f>
        <v>0</v>
      </c>
      <c r="W239" s="64" t="s">
        <v>26</v>
      </c>
      <c r="X239" s="64">
        <f>SUMIF(D237:D256,"임",F237:F256)</f>
        <v>0</v>
      </c>
      <c r="Y239" s="65">
        <f>SUMIF(I237:I256,"임",K237:K256)</f>
        <v>0</v>
      </c>
      <c r="Z239" s="10">
        <f>COUNTIF(AJ237:AJ256,"임국")+COUNTIF(AJ237:AJ256,"임공")</f>
        <v>0</v>
      </c>
      <c r="AA239" s="42">
        <f>COUNTIF(AK237:AK256,"임국")+COUNTIF(AK237:AK256,"임공")</f>
        <v>0</v>
      </c>
      <c r="AB239" s="10" t="s">
        <v>26</v>
      </c>
      <c r="AC239" s="10">
        <f>SUMIF(AJ237:AJ256,"임국",F237:F256)+SUMIF(AJ237:AJ256,"임공",F237:F256)</f>
        <v>0</v>
      </c>
      <c r="AD239" s="42">
        <f>SUMIF(AK237:AK256,"임국",K237:K256)+SUMIF(AK237:AK256,"임공",K237:K256)</f>
        <v>0</v>
      </c>
      <c r="AE239" s="64">
        <f t="shared" si="49"/>
        <v>0</v>
      </c>
      <c r="AF239" s="65">
        <f t="shared" si="49"/>
        <v>0</v>
      </c>
      <c r="AG239" s="64" t="s">
        <v>26</v>
      </c>
      <c r="AH239" s="64">
        <f t="shared" si="50"/>
        <v>0</v>
      </c>
      <c r="AI239" s="65">
        <f t="shared" si="50"/>
        <v>0</v>
      </c>
      <c r="AJ239" s="64" t="str">
        <f t="shared" si="51"/>
        <v/>
      </c>
      <c r="AK239" s="64" t="str">
        <f t="shared" si="52"/>
        <v/>
      </c>
      <c r="AL239" s="66"/>
      <c r="AM239" s="66"/>
    </row>
    <row r="240" spans="1:39" s="67" customFormat="1" ht="24" hidden="1" customHeight="1" x14ac:dyDescent="0.15">
      <c r="A240" s="146">
        <v>224</v>
      </c>
      <c r="B240" s="121"/>
      <c r="C240" s="419"/>
      <c r="D240" s="419"/>
      <c r="E240" s="464"/>
      <c r="F240" s="464"/>
      <c r="G240" s="352"/>
      <c r="H240" s="351"/>
      <c r="I240" s="351"/>
      <c r="J240" s="352"/>
      <c r="K240" s="355"/>
      <c r="L240" s="420"/>
      <c r="M240" s="420"/>
      <c r="N240" s="528"/>
      <c r="O240" s="528"/>
      <c r="P240" s="322"/>
      <c r="Q240" s="322"/>
      <c r="R240" s="322"/>
      <c r="S240" s="264"/>
      <c r="T240" s="64" t="s">
        <v>45</v>
      </c>
      <c r="U240" s="64">
        <f>COUNTIF(D237:D256,"대")</f>
        <v>0</v>
      </c>
      <c r="V240" s="65">
        <f>COUNTIF(I237:I256,"대")</f>
        <v>0</v>
      </c>
      <c r="W240" s="64" t="s">
        <v>26</v>
      </c>
      <c r="X240" s="64">
        <f>SUMIF(D237:D256,"대",F237:F256)</f>
        <v>0</v>
      </c>
      <c r="Y240" s="65">
        <f>SUMIF(I237:I256,"대",K237:K256)</f>
        <v>0</v>
      </c>
      <c r="Z240" s="10">
        <f>COUNTIF(AJ237:AJ256,"대국")+COUNTIF(AJ237:AJ256,"대공")</f>
        <v>0</v>
      </c>
      <c r="AA240" s="42">
        <f>COUNTIF(AK237:AK256,"대국")+COUNTIF(AK237:AK256,"대공")</f>
        <v>0</v>
      </c>
      <c r="AB240" s="10" t="s">
        <v>26</v>
      </c>
      <c r="AC240" s="10">
        <f>SUMIF(AJ237:AJ256,"대국",F237:F256)+SUMIF(AJ237:AJ256,"대공",F237:F256)</f>
        <v>0</v>
      </c>
      <c r="AD240" s="42">
        <f>SUMIF(AK237:AK256,"대국",K237:K256)+SUMIF(AK237:AK256,"대공",K237:K256)</f>
        <v>0</v>
      </c>
      <c r="AE240" s="64">
        <f t="shared" si="49"/>
        <v>0</v>
      </c>
      <c r="AF240" s="65">
        <f t="shared" si="49"/>
        <v>0</v>
      </c>
      <c r="AG240" s="64" t="s">
        <v>26</v>
      </c>
      <c r="AH240" s="64">
        <f t="shared" si="50"/>
        <v>0</v>
      </c>
      <c r="AI240" s="65">
        <f t="shared" si="50"/>
        <v>0</v>
      </c>
      <c r="AJ240" s="64" t="str">
        <f t="shared" si="51"/>
        <v/>
      </c>
      <c r="AK240" s="64" t="str">
        <f t="shared" si="52"/>
        <v/>
      </c>
      <c r="AL240" s="66"/>
      <c r="AM240" s="66"/>
    </row>
    <row r="241" spans="1:39" s="67" customFormat="1" ht="24" hidden="1" customHeight="1" x14ac:dyDescent="0.15">
      <c r="A241" s="146">
        <v>225</v>
      </c>
      <c r="B241" s="121"/>
      <c r="C241" s="421"/>
      <c r="D241" s="419"/>
      <c r="E241" s="465"/>
      <c r="F241" s="465"/>
      <c r="G241" s="352"/>
      <c r="H241" s="351"/>
      <c r="I241" s="351"/>
      <c r="J241" s="352"/>
      <c r="K241" s="355"/>
      <c r="L241" s="420"/>
      <c r="M241" s="420"/>
      <c r="N241" s="528"/>
      <c r="O241" s="528"/>
      <c r="P241" s="322"/>
      <c r="Q241" s="322"/>
      <c r="R241" s="322"/>
      <c r="S241" s="264"/>
      <c r="T241" s="64" t="s">
        <v>31</v>
      </c>
      <c r="U241" s="64">
        <f>COUNTIF(D237:D256,"도")</f>
        <v>0</v>
      </c>
      <c r="V241" s="65">
        <f>COUNTIF(I237:I256,"도")</f>
        <v>0</v>
      </c>
      <c r="W241" s="64" t="s">
        <v>26</v>
      </c>
      <c r="X241" s="64">
        <f>SUMIF(D237:D256,"도",F237:F256)</f>
        <v>0</v>
      </c>
      <c r="Y241" s="65">
        <f>SUMIF(I237:I256,"도",K237:K256)</f>
        <v>0</v>
      </c>
      <c r="Z241" s="10">
        <f>COUNTIF(AJ237:AJ256,"도국")+COUNTIF(AJ237:AJ256,"도공")</f>
        <v>0</v>
      </c>
      <c r="AA241" s="42">
        <f>COUNTIF(AK237:AK256,"도국")+COUNTIF(AK237:AK256,"도공")</f>
        <v>0</v>
      </c>
      <c r="AB241" s="10" t="s">
        <v>26</v>
      </c>
      <c r="AC241" s="10">
        <f>SUMIF(AJ237:AJ256,"도국",F237:F256)+SUMIF(AJ237:AJ256,"도공",F237:F256)</f>
        <v>0</v>
      </c>
      <c r="AD241" s="42">
        <f>SUMIF(AK237:AK256,"도국",K237:K256)+SUMIF(AK237:AK256,"도공",K237:K256)</f>
        <v>0</v>
      </c>
      <c r="AE241" s="64">
        <f t="shared" si="49"/>
        <v>0</v>
      </c>
      <c r="AF241" s="65">
        <f t="shared" si="49"/>
        <v>0</v>
      </c>
      <c r="AG241" s="64" t="s">
        <v>26</v>
      </c>
      <c r="AH241" s="64">
        <f t="shared" si="50"/>
        <v>0</v>
      </c>
      <c r="AI241" s="65">
        <f t="shared" si="50"/>
        <v>0</v>
      </c>
      <c r="AJ241" s="64" t="str">
        <f t="shared" si="51"/>
        <v/>
      </c>
      <c r="AK241" s="64" t="str">
        <f t="shared" si="52"/>
        <v/>
      </c>
      <c r="AL241" s="66"/>
      <c r="AM241" s="66"/>
    </row>
    <row r="242" spans="1:39" s="67" customFormat="1" ht="24" hidden="1" customHeight="1" x14ac:dyDescent="0.15">
      <c r="A242" s="146">
        <v>226</v>
      </c>
      <c r="B242" s="121"/>
      <c r="C242" s="419"/>
      <c r="D242" s="419"/>
      <c r="E242" s="464"/>
      <c r="F242" s="464"/>
      <c r="G242" s="352"/>
      <c r="H242" s="351"/>
      <c r="I242" s="351"/>
      <c r="J242" s="352"/>
      <c r="K242" s="355"/>
      <c r="L242" s="420"/>
      <c r="M242" s="420"/>
      <c r="N242" s="528"/>
      <c r="O242" s="528"/>
      <c r="P242" s="322"/>
      <c r="Q242" s="322"/>
      <c r="R242" s="322"/>
      <c r="S242" s="264"/>
      <c r="T242" s="64" t="s">
        <v>32</v>
      </c>
      <c r="U242" s="68">
        <f>COUNTIF(D237:D256,"천")</f>
        <v>0</v>
      </c>
      <c r="V242" s="69">
        <f>COUNTIF(I237:I256,"천")</f>
        <v>0</v>
      </c>
      <c r="W242" s="64" t="s">
        <v>26</v>
      </c>
      <c r="X242" s="64">
        <f>SUMIF(D237:D256,"천",F237:F256)</f>
        <v>0</v>
      </c>
      <c r="Y242" s="65">
        <f>SUMIF(I237:I256,"천",K237:K256)</f>
        <v>0</v>
      </c>
      <c r="Z242" s="10">
        <f>COUNTIF(AJ237:AJ256,"천국")+COUNTIF(AJ237:AJ256,"천공")</f>
        <v>0</v>
      </c>
      <c r="AA242" s="42">
        <f>COUNTIF(AK237:AK256,"천국")+COUNTIF(AK237:AK256,"천공")</f>
        <v>0</v>
      </c>
      <c r="AB242" s="10" t="s">
        <v>26</v>
      </c>
      <c r="AC242" s="10">
        <f>SUMIF(AJ237:AJ256,"천국",F237:F256)+SUMIF(AJ237:AJ256,"천공",F237:F256)</f>
        <v>0</v>
      </c>
      <c r="AD242" s="42">
        <f>SUMIF(AK237:AK256,"천국",K237:K256)+SUMIF(AK237:AK256,"천공",K237:K256)</f>
        <v>0</v>
      </c>
      <c r="AE242" s="64">
        <f t="shared" si="49"/>
        <v>0</v>
      </c>
      <c r="AF242" s="65">
        <f t="shared" si="49"/>
        <v>0</v>
      </c>
      <c r="AG242" s="64" t="s">
        <v>26</v>
      </c>
      <c r="AH242" s="64">
        <f t="shared" si="50"/>
        <v>0</v>
      </c>
      <c r="AI242" s="65">
        <f t="shared" si="50"/>
        <v>0</v>
      </c>
      <c r="AJ242" s="64" t="str">
        <f t="shared" si="51"/>
        <v/>
      </c>
      <c r="AK242" s="64" t="str">
        <f t="shared" si="52"/>
        <v/>
      </c>
      <c r="AL242" s="66"/>
      <c r="AM242" s="66"/>
    </row>
    <row r="243" spans="1:39" s="67" customFormat="1" ht="24" hidden="1" customHeight="1" x14ac:dyDescent="0.15">
      <c r="A243" s="146">
        <v>227</v>
      </c>
      <c r="B243" s="121"/>
      <c r="C243" s="419"/>
      <c r="D243" s="419"/>
      <c r="E243" s="464"/>
      <c r="F243" s="464"/>
      <c r="G243" s="352"/>
      <c r="H243" s="351"/>
      <c r="I243" s="351"/>
      <c r="J243" s="352"/>
      <c r="K243" s="355"/>
      <c r="L243" s="420"/>
      <c r="M243" s="420"/>
      <c r="N243" s="528"/>
      <c r="O243" s="528"/>
      <c r="P243" s="322"/>
      <c r="Q243" s="322"/>
      <c r="R243" s="322"/>
      <c r="S243" s="264"/>
      <c r="T243" s="64" t="s">
        <v>33</v>
      </c>
      <c r="U243" s="64">
        <f>COUNTIF(D237:D256,"구")</f>
        <v>0</v>
      </c>
      <c r="V243" s="65">
        <f>COUNTIF(I237:I256,"구")</f>
        <v>0</v>
      </c>
      <c r="W243" s="64" t="s">
        <v>26</v>
      </c>
      <c r="X243" s="64">
        <f>SUMIF(D237:D256,"구",F237:F256)</f>
        <v>0</v>
      </c>
      <c r="Y243" s="65">
        <f>SUMIF(I237:I256,"구",K237:K256)</f>
        <v>0</v>
      </c>
      <c r="Z243" s="10">
        <f>COUNTIF(AJ237:AJ256,"구국")+COUNTIF(AJ237:AJ256,"구공")</f>
        <v>0</v>
      </c>
      <c r="AA243" s="42">
        <f>COUNTIF(AK237:AK256,"구국")+COUNTIF(AK237:AK256,"구공")</f>
        <v>0</v>
      </c>
      <c r="AB243" s="10" t="s">
        <v>26</v>
      </c>
      <c r="AC243" s="10">
        <f>SUMIF(AJ237:AJ256,"구국",F237:F256)+SUMIF(AJ237:AJ256,"구공",F237:F256)</f>
        <v>0</v>
      </c>
      <c r="AD243" s="42">
        <f>SUMIF(AK237:AK256,"구국",K237:K256)+SUMIF(AK237:AK256,"구공",K237:K256)</f>
        <v>0</v>
      </c>
      <c r="AE243" s="64">
        <f t="shared" si="49"/>
        <v>0</v>
      </c>
      <c r="AF243" s="65">
        <f t="shared" si="49"/>
        <v>0</v>
      </c>
      <c r="AG243" s="64" t="s">
        <v>26</v>
      </c>
      <c r="AH243" s="64">
        <f t="shared" si="50"/>
        <v>0</v>
      </c>
      <c r="AI243" s="65">
        <f t="shared" si="50"/>
        <v>0</v>
      </c>
      <c r="AJ243" s="64" t="str">
        <f t="shared" si="51"/>
        <v/>
      </c>
      <c r="AK243" s="64" t="str">
        <f t="shared" si="52"/>
        <v/>
      </c>
      <c r="AL243" s="66"/>
      <c r="AM243" s="66"/>
    </row>
    <row r="244" spans="1:39" s="67" customFormat="1" ht="24" hidden="1" customHeight="1" x14ac:dyDescent="0.15">
      <c r="A244" s="146">
        <v>228</v>
      </c>
      <c r="B244" s="121"/>
      <c r="C244" s="419"/>
      <c r="D244" s="419"/>
      <c r="E244" s="464"/>
      <c r="F244" s="464"/>
      <c r="G244" s="352"/>
      <c r="H244" s="351"/>
      <c r="I244" s="351"/>
      <c r="J244" s="352"/>
      <c r="K244" s="355"/>
      <c r="L244" s="420"/>
      <c r="M244" s="420"/>
      <c r="N244" s="528"/>
      <c r="O244" s="528"/>
      <c r="P244" s="322"/>
      <c r="Q244" s="322"/>
      <c r="R244" s="322"/>
      <c r="S244" s="264"/>
      <c r="T244" s="64" t="s">
        <v>34</v>
      </c>
      <c r="U244" s="64">
        <f>COUNTIF(D237:D256,"제")</f>
        <v>0</v>
      </c>
      <c r="V244" s="65">
        <f>COUNTIF(I237:I256,"제")</f>
        <v>0</v>
      </c>
      <c r="W244" s="64" t="s">
        <v>26</v>
      </c>
      <c r="X244" s="64">
        <f>SUMIF(D237:D256,"제",F237:F256)</f>
        <v>0</v>
      </c>
      <c r="Y244" s="65">
        <f>SUMIF(I237:I256,"제",K237:K256)</f>
        <v>0</v>
      </c>
      <c r="Z244" s="10">
        <f>COUNTIF(AJ237:AJ256,"제국")+COUNTIF(AJ237:AJ256,"제공")</f>
        <v>0</v>
      </c>
      <c r="AA244" s="42">
        <f>COUNTIF(AK237:AK256,"제국")+COUNTIF(AK237:AK256,"제공")</f>
        <v>0</v>
      </c>
      <c r="AB244" s="10" t="s">
        <v>26</v>
      </c>
      <c r="AC244" s="10">
        <f>SUMIF(AJ237:AJ256,"제국",F237:F256)+SUMIF(AJ237:AJ256,"제공",F237:F256)</f>
        <v>0</v>
      </c>
      <c r="AD244" s="42">
        <f>SUMIF(AK237:AK256,"제국",K237:K256)+SUMIF(AK237:AK256,"제공",K237:K256)</f>
        <v>0</v>
      </c>
      <c r="AE244" s="64">
        <f t="shared" si="49"/>
        <v>0</v>
      </c>
      <c r="AF244" s="65">
        <f t="shared" si="49"/>
        <v>0</v>
      </c>
      <c r="AG244" s="64" t="s">
        <v>26</v>
      </c>
      <c r="AH244" s="64">
        <f t="shared" si="50"/>
        <v>0</v>
      </c>
      <c r="AI244" s="65">
        <f t="shared" si="50"/>
        <v>0</v>
      </c>
      <c r="AJ244" s="64" t="str">
        <f t="shared" si="51"/>
        <v/>
      </c>
      <c r="AK244" s="64" t="str">
        <f t="shared" si="52"/>
        <v/>
      </c>
      <c r="AL244" s="66"/>
      <c r="AM244" s="66"/>
    </row>
    <row r="245" spans="1:39" s="67" customFormat="1" ht="24" hidden="1" customHeight="1" x14ac:dyDescent="0.15">
      <c r="A245" s="146">
        <v>229</v>
      </c>
      <c r="B245" s="121"/>
      <c r="C245" s="581"/>
      <c r="D245" s="581"/>
      <c r="E245" s="582"/>
      <c r="F245" s="582"/>
      <c r="G245" s="583"/>
      <c r="H245" s="584"/>
      <c r="I245" s="584"/>
      <c r="J245" s="583"/>
      <c r="K245" s="585"/>
      <c r="L245" s="586"/>
      <c r="M245" s="586"/>
      <c r="N245" s="587"/>
      <c r="O245" s="587"/>
      <c r="P245" s="588"/>
      <c r="Q245" s="588"/>
      <c r="R245" s="588"/>
      <c r="S245" s="264"/>
      <c r="T245" s="64" t="s">
        <v>46</v>
      </c>
      <c r="U245" s="64">
        <f>COUNTIF(D237:D256,"유")</f>
        <v>0</v>
      </c>
      <c r="V245" s="65">
        <f>COUNTIF(I237:I256,"유")</f>
        <v>0</v>
      </c>
      <c r="W245" s="64" t="s">
        <v>26</v>
      </c>
      <c r="X245" s="64">
        <f>SUMIF(D237:D256,"유",F237:F256)</f>
        <v>0</v>
      </c>
      <c r="Y245" s="65">
        <f>SUMIF(I237:I256,"유",K237:K256)</f>
        <v>0</v>
      </c>
      <c r="Z245" s="10">
        <f>COUNTIF(AJ237:AJ256,"유국")+COUNTIF(AJ237:AJ256,"유공")</f>
        <v>0</v>
      </c>
      <c r="AA245" s="42">
        <f>COUNTIF(AK237:AK256,"유국")+COUNTIF(AK237:AK256,"유공")</f>
        <v>0</v>
      </c>
      <c r="AB245" s="10" t="s">
        <v>26</v>
      </c>
      <c r="AC245" s="10">
        <f>SUMIF(AJ237:AJ256,"유국",F237:F256)+SUMIF(AJ237:AJ256,"유공",F237:F256)</f>
        <v>0</v>
      </c>
      <c r="AD245" s="42">
        <f>SUMIF(AK237:AK256,"유국",K237:K256)+SUMIF(AK237:AK256,"유공",K237:K256)</f>
        <v>0</v>
      </c>
      <c r="AE245" s="64">
        <f t="shared" si="49"/>
        <v>0</v>
      </c>
      <c r="AF245" s="65">
        <f t="shared" si="49"/>
        <v>0</v>
      </c>
      <c r="AG245" s="64" t="s">
        <v>26</v>
      </c>
      <c r="AH245" s="64">
        <f t="shared" si="50"/>
        <v>0</v>
      </c>
      <c r="AI245" s="65">
        <f t="shared" si="50"/>
        <v>0</v>
      </c>
      <c r="AJ245" s="64" t="str">
        <f t="shared" si="51"/>
        <v/>
      </c>
      <c r="AK245" s="64" t="str">
        <f t="shared" si="52"/>
        <v/>
      </c>
      <c r="AL245" s="66"/>
      <c r="AM245" s="66"/>
    </row>
    <row r="246" spans="1:39" s="67" customFormat="1" ht="24" hidden="1" customHeight="1" x14ac:dyDescent="0.15">
      <c r="A246" s="146">
        <v>230</v>
      </c>
      <c r="B246" s="121"/>
      <c r="C246" s="419"/>
      <c r="D246" s="419"/>
      <c r="E246" s="517"/>
      <c r="F246" s="517"/>
      <c r="G246" s="352"/>
      <c r="H246" s="351"/>
      <c r="I246" s="351"/>
      <c r="J246" s="352"/>
      <c r="K246" s="355"/>
      <c r="L246" s="571"/>
      <c r="M246" s="420"/>
      <c r="N246" s="567"/>
      <c r="O246" s="528"/>
      <c r="P246" s="322"/>
      <c r="Q246" s="322"/>
      <c r="R246" s="322"/>
      <c r="S246" s="264"/>
      <c r="T246" s="64" t="s">
        <v>47</v>
      </c>
      <c r="U246" s="64">
        <f>COUNTIF(D237:D256,"과")</f>
        <v>0</v>
      </c>
      <c r="V246" s="65">
        <f>COUNTIF(I237:I256,"과")</f>
        <v>0</v>
      </c>
      <c r="W246" s="64" t="s">
        <v>26</v>
      </c>
      <c r="X246" s="64">
        <f>SUMIF(D237:D256,"과",F237:F256)</f>
        <v>0</v>
      </c>
      <c r="Y246" s="65">
        <f>SUMIF(I237:I256,"과",K237:K256)</f>
        <v>0</v>
      </c>
      <c r="Z246" s="10">
        <f>COUNTIF(AJ237:AJ256,"과국")+COUNTIF(AJ237:AJ256,"과공")</f>
        <v>0</v>
      </c>
      <c r="AA246" s="42">
        <f>COUNTIF(AK237:AK256,"과국")+COUNTIF(AK237:AK256,"과공")</f>
        <v>0</v>
      </c>
      <c r="AB246" s="10" t="s">
        <v>26</v>
      </c>
      <c r="AC246" s="10">
        <f>SUMIF(AJ237:AJ256,"과국",F237:F256)+SUMIF(AJ237:AJ256,"과공",F237:F256)</f>
        <v>0</v>
      </c>
      <c r="AD246" s="42">
        <f>SUMIF(AK237:AK256,"과국",K237:K256)+SUMIF(AK237:AK256,"과공",K237:K256)</f>
        <v>0</v>
      </c>
      <c r="AE246" s="64">
        <f t="shared" si="49"/>
        <v>0</v>
      </c>
      <c r="AF246" s="65">
        <f t="shared" si="49"/>
        <v>0</v>
      </c>
      <c r="AG246" s="64" t="s">
        <v>26</v>
      </c>
      <c r="AH246" s="64">
        <f t="shared" si="50"/>
        <v>0</v>
      </c>
      <c r="AI246" s="65">
        <f t="shared" si="50"/>
        <v>0</v>
      </c>
      <c r="AJ246" s="64" t="str">
        <f t="shared" si="51"/>
        <v/>
      </c>
      <c r="AK246" s="64" t="str">
        <f t="shared" si="52"/>
        <v/>
      </c>
      <c r="AL246" s="66"/>
      <c r="AM246" s="66"/>
    </row>
    <row r="247" spans="1:39" s="67" customFormat="1" ht="24" hidden="1" customHeight="1" x14ac:dyDescent="0.15">
      <c r="A247" s="146">
        <v>231</v>
      </c>
      <c r="B247" s="121"/>
      <c r="C247" s="421"/>
      <c r="D247" s="419"/>
      <c r="E247" s="518"/>
      <c r="F247" s="518"/>
      <c r="G247" s="352"/>
      <c r="H247" s="351"/>
      <c r="I247" s="351"/>
      <c r="J247" s="352"/>
      <c r="K247" s="355"/>
      <c r="L247" s="420"/>
      <c r="M247" s="420"/>
      <c r="N247" s="528"/>
      <c r="O247" s="528"/>
      <c r="P247" s="322"/>
      <c r="Q247" s="322"/>
      <c r="R247" s="322"/>
      <c r="S247" s="264"/>
      <c r="T247" s="64" t="s">
        <v>36</v>
      </c>
      <c r="U247" s="64">
        <f>COUNTIF(D237:D256,"묘")</f>
        <v>0</v>
      </c>
      <c r="V247" s="65">
        <f>COUNTIF(I237:I256,"묘")</f>
        <v>0</v>
      </c>
      <c r="W247" s="64" t="s">
        <v>26</v>
      </c>
      <c r="X247" s="64">
        <f>SUMIF(D237:D256,"묘",F237:F256)</f>
        <v>0</v>
      </c>
      <c r="Y247" s="65">
        <f>SUMIF(I237:I256,"묘",K237:K256)</f>
        <v>0</v>
      </c>
      <c r="Z247" s="10">
        <f>COUNTIF(AJ237:AJ256,"묘국")+COUNTIF(AJ237:AJ256,"묘공")</f>
        <v>0</v>
      </c>
      <c r="AA247" s="42">
        <f>COUNTIF(AK237:AK256,"묘국")+COUNTIF(AK237:AK256,"묘공")</f>
        <v>0</v>
      </c>
      <c r="AB247" s="10" t="s">
        <v>26</v>
      </c>
      <c r="AC247" s="10">
        <f>SUMIF(AJ237:AJ256,"묘국",F237:F256)+SUMIF(AJ237:AJ256,"묘공",F237:F256)</f>
        <v>0</v>
      </c>
      <c r="AD247" s="42">
        <f>SUMIF(AK237:AK256,"묘국",K237:K256)+SUMIF(AK237:AK256,"묘공",K237:K256)</f>
        <v>0</v>
      </c>
      <c r="AE247" s="64">
        <f t="shared" si="49"/>
        <v>0</v>
      </c>
      <c r="AF247" s="65">
        <f t="shared" si="49"/>
        <v>0</v>
      </c>
      <c r="AG247" s="64" t="s">
        <v>26</v>
      </c>
      <c r="AH247" s="64">
        <f t="shared" si="50"/>
        <v>0</v>
      </c>
      <c r="AI247" s="65">
        <f t="shared" si="50"/>
        <v>0</v>
      </c>
      <c r="AJ247" s="64" t="str">
        <f t="shared" si="51"/>
        <v/>
      </c>
      <c r="AK247" s="64" t="str">
        <f t="shared" si="52"/>
        <v/>
      </c>
      <c r="AL247" s="66"/>
      <c r="AM247" s="66"/>
    </row>
    <row r="248" spans="1:39" s="67" customFormat="1" ht="24" hidden="1" customHeight="1" x14ac:dyDescent="0.15">
      <c r="A248" s="146">
        <v>232</v>
      </c>
      <c r="B248" s="121"/>
      <c r="C248" s="419"/>
      <c r="D248" s="419"/>
      <c r="E248" s="517"/>
      <c r="F248" s="517"/>
      <c r="G248" s="356"/>
      <c r="H248" s="351"/>
      <c r="I248" s="351"/>
      <c r="J248" s="356"/>
      <c r="K248" s="355"/>
      <c r="L248" s="571"/>
      <c r="M248" s="420"/>
      <c r="N248" s="567"/>
      <c r="O248" s="528"/>
      <c r="P248" s="322"/>
      <c r="Q248" s="322"/>
      <c r="R248" s="322"/>
      <c r="S248" s="264"/>
      <c r="T248" s="64" t="s">
        <v>39</v>
      </c>
      <c r="U248" s="64">
        <f>COUNTIF(D237:D256,"수")</f>
        <v>0</v>
      </c>
      <c r="V248" s="65">
        <f>COUNTIF(I237:I256,"수")</f>
        <v>0</v>
      </c>
      <c r="W248" s="64" t="s">
        <v>26</v>
      </c>
      <c r="X248" s="64">
        <f>SUMIF(D237:D256,"수",F237:F256)</f>
        <v>0</v>
      </c>
      <c r="Y248" s="65">
        <f>SUMIF(I237:I256,"수",K237:K256)</f>
        <v>0</v>
      </c>
      <c r="Z248" s="10">
        <f>COUNTIF(AJ237:AJ256,"수국")+COUNTIF(AJ237:AJ256,"수공")</f>
        <v>0</v>
      </c>
      <c r="AA248" s="42">
        <f>COUNTIF(AK237:AK256,"수국")+COUNTIF(AK237:AK256,"수공")</f>
        <v>0</v>
      </c>
      <c r="AB248" s="10" t="s">
        <v>26</v>
      </c>
      <c r="AC248" s="10">
        <f>SUMIF(AJ237:AJ256,"수국",F237:F256)+SUMIF(AJ237:AJ256,"수공",F237:F256)</f>
        <v>0</v>
      </c>
      <c r="AD248" s="42">
        <f>SUMIF(AK237:AK256,"수국",K237:K256)+SUMIF(AK237:AK256,"수공",K237:K256)</f>
        <v>0</v>
      </c>
      <c r="AE248" s="64">
        <f t="shared" si="49"/>
        <v>0</v>
      </c>
      <c r="AF248" s="65">
        <f t="shared" si="49"/>
        <v>0</v>
      </c>
      <c r="AG248" s="64" t="s">
        <v>26</v>
      </c>
      <c r="AH248" s="64">
        <f t="shared" si="50"/>
        <v>0</v>
      </c>
      <c r="AI248" s="65">
        <f t="shared" si="50"/>
        <v>0</v>
      </c>
      <c r="AJ248" s="64" t="str">
        <f t="shared" si="51"/>
        <v/>
      </c>
      <c r="AK248" s="64" t="str">
        <f t="shared" si="52"/>
        <v/>
      </c>
      <c r="AL248" s="66"/>
      <c r="AM248" s="66"/>
    </row>
    <row r="249" spans="1:39" s="67" customFormat="1" ht="24" hidden="1" customHeight="1" x14ac:dyDescent="0.15">
      <c r="A249" s="146">
        <v>233</v>
      </c>
      <c r="B249" s="121"/>
      <c r="C249" s="419"/>
      <c r="D249" s="419"/>
      <c r="E249" s="517"/>
      <c r="F249" s="517"/>
      <c r="G249" s="352"/>
      <c r="H249" s="351"/>
      <c r="I249" s="351"/>
      <c r="J249" s="352"/>
      <c r="K249" s="355"/>
      <c r="L249" s="420"/>
      <c r="M249" s="420"/>
      <c r="N249" s="528"/>
      <c r="O249" s="528"/>
      <c r="P249" s="322"/>
      <c r="Q249" s="322"/>
      <c r="R249" s="322"/>
      <c r="S249" s="264"/>
      <c r="T249" s="64" t="s">
        <v>35</v>
      </c>
      <c r="U249" s="64">
        <f>COUNTIF(D237:D256,"잡")</f>
        <v>0</v>
      </c>
      <c r="V249" s="65">
        <f>COUNTIF(I237:I256,"잡")</f>
        <v>0</v>
      </c>
      <c r="W249" s="64" t="s">
        <v>26</v>
      </c>
      <c r="X249" s="64">
        <f>SUMIF(D237:D256,"잡",F237:F256)</f>
        <v>0</v>
      </c>
      <c r="Y249" s="65">
        <f>SUMIF(I237:I256,"잡",K237:K256)</f>
        <v>0</v>
      </c>
      <c r="Z249" s="10">
        <f>COUNTIF(AJ237:AJ256,"잡국")+COUNTIF(AJ237:AJ256,"잡공")</f>
        <v>0</v>
      </c>
      <c r="AA249" s="42">
        <f>COUNTIF(AK237:AK256,"잡국")+COUNTIF(AK237:AK256,"잡공")</f>
        <v>0</v>
      </c>
      <c r="AB249" s="10" t="s">
        <v>26</v>
      </c>
      <c r="AC249" s="10">
        <f>SUMIF(AJ237:AJ256,"잡국",F237:F256)+SUMIF(AJ237:AJ256,"잡공",F237:F256)</f>
        <v>0</v>
      </c>
      <c r="AD249" s="42">
        <f>SUMIF(AK237:AK256,"잡국",K237:K256)+SUMIF(AK237:AK256,"잡공",K237:K256)</f>
        <v>0</v>
      </c>
      <c r="AE249" s="64">
        <f t="shared" si="49"/>
        <v>0</v>
      </c>
      <c r="AF249" s="65">
        <f t="shared" si="49"/>
        <v>0</v>
      </c>
      <c r="AG249" s="64" t="s">
        <v>26</v>
      </c>
      <c r="AH249" s="64">
        <f t="shared" si="50"/>
        <v>0</v>
      </c>
      <c r="AI249" s="65">
        <f t="shared" si="50"/>
        <v>0</v>
      </c>
      <c r="AJ249" s="64" t="str">
        <f t="shared" si="51"/>
        <v/>
      </c>
      <c r="AK249" s="64" t="str">
        <f t="shared" si="52"/>
        <v/>
      </c>
      <c r="AL249" s="66"/>
      <c r="AM249" s="66"/>
    </row>
    <row r="250" spans="1:39" s="67" customFormat="1" ht="24" hidden="1" customHeight="1" x14ac:dyDescent="0.15">
      <c r="A250" s="146">
        <v>234</v>
      </c>
      <c r="B250" s="121"/>
      <c r="C250" s="419"/>
      <c r="D250" s="419"/>
      <c r="E250" s="517"/>
      <c r="F250" s="517"/>
      <c r="G250" s="356"/>
      <c r="H250" s="351"/>
      <c r="I250" s="351"/>
      <c r="J250" s="356"/>
      <c r="K250" s="355"/>
      <c r="L250" s="420"/>
      <c r="M250" s="420"/>
      <c r="N250" s="528"/>
      <c r="O250" s="528"/>
      <c r="P250" s="322"/>
      <c r="Q250" s="322"/>
      <c r="R250" s="322"/>
      <c r="S250" s="264"/>
      <c r="T250" s="64" t="s">
        <v>51</v>
      </c>
      <c r="U250" s="64">
        <f>COUNTIF(D237:D256,"체")</f>
        <v>0</v>
      </c>
      <c r="V250" s="65">
        <f>COUNTIF(I237:I256,"체")</f>
        <v>0</v>
      </c>
      <c r="W250" s="64" t="s">
        <v>26</v>
      </c>
      <c r="X250" s="64">
        <f>SUMIF(D237:D256,"체",F237:F256)</f>
        <v>0</v>
      </c>
      <c r="Y250" s="65">
        <f>SUMIF(I237:I256,"체",K237:K256)</f>
        <v>0</v>
      </c>
      <c r="Z250" s="10">
        <f>COUNTIF(AJ237:AJ256,"체국")+COUNTIF(AJ237:AJ256,"체공")</f>
        <v>0</v>
      </c>
      <c r="AA250" s="42">
        <f>COUNTIF(AK237:AK256,"체국")+COUNTIF(AK237:AK256,"체공")</f>
        <v>0</v>
      </c>
      <c r="AB250" s="10" t="s">
        <v>26</v>
      </c>
      <c r="AC250" s="10">
        <f>SUMIF(AJ237:AJ256,"체국",F237:F256)+SUMIF(AJ237:AJ256,"체공",F237:F256)</f>
        <v>0</v>
      </c>
      <c r="AD250" s="42">
        <f>SUMIF(AK237:AK256,"체국",K237:K256)+SUMIF(AK237:AK256,"체공",K237:K256)</f>
        <v>0</v>
      </c>
      <c r="AE250" s="64">
        <f t="shared" si="49"/>
        <v>0</v>
      </c>
      <c r="AF250" s="65">
        <f t="shared" si="49"/>
        <v>0</v>
      </c>
      <c r="AG250" s="64" t="s">
        <v>26</v>
      </c>
      <c r="AH250" s="64">
        <f t="shared" si="50"/>
        <v>0</v>
      </c>
      <c r="AI250" s="65">
        <f t="shared" si="50"/>
        <v>0</v>
      </c>
      <c r="AJ250" s="64" t="str">
        <f t="shared" si="51"/>
        <v/>
      </c>
      <c r="AK250" s="64" t="str">
        <f t="shared" si="52"/>
        <v/>
      </c>
      <c r="AL250" s="66"/>
      <c r="AM250" s="66"/>
    </row>
    <row r="251" spans="1:39" s="67" customFormat="1" ht="24" hidden="1" customHeight="1" x14ac:dyDescent="0.15">
      <c r="A251" s="146">
        <v>235</v>
      </c>
      <c r="B251" s="121"/>
      <c r="C251" s="419"/>
      <c r="D251" s="419"/>
      <c r="E251" s="517"/>
      <c r="F251" s="517"/>
      <c r="G251" s="352"/>
      <c r="H251" s="351"/>
      <c r="I251" s="351"/>
      <c r="J251" s="352"/>
      <c r="K251" s="355"/>
      <c r="L251" s="420"/>
      <c r="M251" s="420"/>
      <c r="N251" s="528"/>
      <c r="O251" s="528"/>
      <c r="P251" s="322"/>
      <c r="Q251" s="322"/>
      <c r="R251" s="322"/>
      <c r="S251" s="264"/>
      <c r="T251" s="64" t="s">
        <v>50</v>
      </c>
      <c r="U251" s="64">
        <f>COUNTIF(D237:D256,"공")</f>
        <v>0</v>
      </c>
      <c r="V251" s="65">
        <f>COUNTIF(I237:I256,"공")</f>
        <v>0</v>
      </c>
      <c r="W251" s="64" t="s">
        <v>26</v>
      </c>
      <c r="X251" s="64">
        <f>SUMIF(D237:D256,"공",F237:F256)</f>
        <v>0</v>
      </c>
      <c r="Y251" s="65">
        <f>SUMIF(I237:I256,"공",K237:K256)</f>
        <v>0</v>
      </c>
      <c r="Z251" s="10">
        <f>COUNTIF(AJ237:AJ256,"공국")+COUNTIF(AJ237:AJ256,"공공")</f>
        <v>0</v>
      </c>
      <c r="AA251" s="42">
        <f>COUNTIF(AK237:AK256,"공국")+COUNTIF(AK237:AK256,"공공")</f>
        <v>0</v>
      </c>
      <c r="AB251" s="10" t="s">
        <v>26</v>
      </c>
      <c r="AC251" s="10">
        <f>SUMIF(AJ237:AJ256,"공국",F237:F256)+SUMIF(AJ237:AJ256,"공공",F237:F256)</f>
        <v>0</v>
      </c>
      <c r="AD251" s="42">
        <f>SUMIF(AK237:AK256,"공국",K237:K256)+SUMIF(AK237:AK256,"공공",K237:K256)</f>
        <v>0</v>
      </c>
      <c r="AE251" s="64">
        <f t="shared" si="49"/>
        <v>0</v>
      </c>
      <c r="AF251" s="65">
        <f t="shared" si="49"/>
        <v>0</v>
      </c>
      <c r="AG251" s="64" t="s">
        <v>26</v>
      </c>
      <c r="AH251" s="64">
        <f t="shared" si="50"/>
        <v>0</v>
      </c>
      <c r="AI251" s="65">
        <f t="shared" si="50"/>
        <v>0</v>
      </c>
      <c r="AJ251" s="64" t="str">
        <f t="shared" si="51"/>
        <v/>
      </c>
      <c r="AK251" s="64" t="str">
        <f t="shared" si="52"/>
        <v/>
      </c>
      <c r="AL251" s="66"/>
      <c r="AM251" s="66"/>
    </row>
    <row r="252" spans="1:39" s="67" customFormat="1" ht="24" hidden="1" customHeight="1" x14ac:dyDescent="0.15">
      <c r="A252" s="146">
        <v>236</v>
      </c>
      <c r="B252" s="121"/>
      <c r="C252" s="419"/>
      <c r="D252" s="419"/>
      <c r="E252" s="517"/>
      <c r="F252" s="517"/>
      <c r="G252" s="352"/>
      <c r="H252" s="351"/>
      <c r="I252" s="351"/>
      <c r="J252" s="352"/>
      <c r="K252" s="355"/>
      <c r="L252" s="420"/>
      <c r="M252" s="420"/>
      <c r="N252" s="528"/>
      <c r="O252" s="528"/>
      <c r="P252" s="322"/>
      <c r="Q252" s="322"/>
      <c r="R252" s="322"/>
      <c r="S252" s="264"/>
      <c r="T252" s="70" t="s">
        <v>40</v>
      </c>
      <c r="U252" s="64">
        <f>COUNTIF(D237:D256,"장")</f>
        <v>0</v>
      </c>
      <c r="V252" s="65">
        <f>COUNTIF(I237:I256,"장")</f>
        <v>0</v>
      </c>
      <c r="W252" s="64" t="s">
        <v>26</v>
      </c>
      <c r="X252" s="64">
        <f>SUMIF(D237:D256,"장",F237:F256)</f>
        <v>0</v>
      </c>
      <c r="Y252" s="65">
        <f>SUMIF(I237:I256,"장",K237:K256)</f>
        <v>0</v>
      </c>
      <c r="Z252" s="10">
        <f>COUNTIF(AJ237:AJ256,"장국")+COUNTIF(AJ237:AJ256,"장공")</f>
        <v>0</v>
      </c>
      <c r="AA252" s="42">
        <f>COUNTIF(AK237:AK256,"장국")+COUNTIF(AK237:AK256,"장공")</f>
        <v>0</v>
      </c>
      <c r="AB252" s="10" t="s">
        <v>26</v>
      </c>
      <c r="AC252" s="10">
        <f>SUMIF(AJ237:AJ256,"장국",F237:F256)+SUMIF(AJ237:AJ256,"장공",F237:F256)</f>
        <v>0</v>
      </c>
      <c r="AD252" s="42">
        <f>SUMIF(AK237:AK256,"장국",K237:K256)+SUMIF(AK237:AK256,"장공",K237:K256)</f>
        <v>0</v>
      </c>
      <c r="AE252" s="64">
        <f t="shared" si="49"/>
        <v>0</v>
      </c>
      <c r="AF252" s="65">
        <f t="shared" si="49"/>
        <v>0</v>
      </c>
      <c r="AG252" s="64" t="s">
        <v>26</v>
      </c>
      <c r="AH252" s="64">
        <f t="shared" si="50"/>
        <v>0</v>
      </c>
      <c r="AI252" s="65">
        <f t="shared" si="50"/>
        <v>0</v>
      </c>
      <c r="AJ252" s="64" t="str">
        <f t="shared" si="51"/>
        <v/>
      </c>
      <c r="AK252" s="64" t="str">
        <f t="shared" si="52"/>
        <v/>
      </c>
      <c r="AL252" s="66"/>
      <c r="AM252" s="66"/>
    </row>
    <row r="253" spans="1:39" s="67" customFormat="1" ht="24" hidden="1" customHeight="1" x14ac:dyDescent="0.15">
      <c r="A253" s="146">
        <v>237</v>
      </c>
      <c r="B253" s="121"/>
      <c r="C253" s="419"/>
      <c r="D253" s="419"/>
      <c r="E253" s="517"/>
      <c r="F253" s="517"/>
      <c r="G253" s="352"/>
      <c r="H253" s="351"/>
      <c r="I253" s="351"/>
      <c r="J253" s="352"/>
      <c r="K253" s="355"/>
      <c r="L253" s="420"/>
      <c r="M253" s="420"/>
      <c r="N253" s="453"/>
      <c r="O253" s="528"/>
      <c r="P253" s="322"/>
      <c r="Q253" s="322"/>
      <c r="R253" s="322"/>
      <c r="S253" s="264"/>
      <c r="T253" s="70" t="s">
        <v>5</v>
      </c>
      <c r="U253" s="64">
        <f>COUNTIF(D237:D256,"목")</f>
        <v>0</v>
      </c>
      <c r="V253" s="65">
        <f>COUNTIF(I237:I256,"목")</f>
        <v>0</v>
      </c>
      <c r="W253" s="64" t="s">
        <v>26</v>
      </c>
      <c r="X253" s="64">
        <f>SUMIF(D237:D256,"목",F237:F256)</f>
        <v>0</v>
      </c>
      <c r="Y253" s="65">
        <f>SUMIF(I237:I256,"목",K237:K256)</f>
        <v>0</v>
      </c>
      <c r="Z253" s="10">
        <f>COUNTIF(AJ237:AJ256,"목국")+COUNTIF(AJ237:AJ256,"목공")</f>
        <v>0</v>
      </c>
      <c r="AA253" s="42">
        <f>COUNTIF(AK237:AK256,"목국")+COUNTIF(AK237:AK256,"목공")</f>
        <v>0</v>
      </c>
      <c r="AB253" s="10" t="s">
        <v>26</v>
      </c>
      <c r="AC253" s="10">
        <f>SUMIF(AJ237:AJ256,"목국",F237:F256)+SUMIF(AJ237:AJ256,"목공",F237:F256)</f>
        <v>0</v>
      </c>
      <c r="AD253" s="42">
        <f>SUMIF(AK237:AK256,"목국",K237:K256)+SUMIF(AK237:AK256,"목공",K237:K256)</f>
        <v>0</v>
      </c>
      <c r="AE253" s="64">
        <f t="shared" si="49"/>
        <v>0</v>
      </c>
      <c r="AF253" s="65">
        <f t="shared" si="49"/>
        <v>0</v>
      </c>
      <c r="AG253" s="64" t="s">
        <v>26</v>
      </c>
      <c r="AH253" s="64">
        <f t="shared" si="50"/>
        <v>0</v>
      </c>
      <c r="AI253" s="65">
        <f t="shared" si="50"/>
        <v>0</v>
      </c>
      <c r="AJ253" s="64" t="str">
        <f t="shared" si="51"/>
        <v/>
      </c>
      <c r="AK253" s="64" t="str">
        <f t="shared" si="52"/>
        <v/>
      </c>
      <c r="AL253" s="66"/>
      <c r="AM253" s="66"/>
    </row>
    <row r="254" spans="1:39" s="67" customFormat="1" ht="24" hidden="1" customHeight="1" x14ac:dyDescent="0.15">
      <c r="A254" s="146">
        <v>238</v>
      </c>
      <c r="B254" s="121"/>
      <c r="C254" s="421"/>
      <c r="D254" s="419"/>
      <c r="E254" s="518"/>
      <c r="F254" s="518"/>
      <c r="G254" s="352"/>
      <c r="H254" s="351"/>
      <c r="I254" s="351"/>
      <c r="J254" s="352"/>
      <c r="K254" s="355"/>
      <c r="L254" s="420"/>
      <c r="M254" s="420"/>
      <c r="N254" s="528"/>
      <c r="O254" s="528"/>
      <c r="P254" s="322"/>
      <c r="Q254" s="322"/>
      <c r="R254" s="322"/>
      <c r="S254" s="264"/>
      <c r="T254" s="70"/>
      <c r="U254" s="70"/>
      <c r="V254" s="71"/>
      <c r="W254" s="70"/>
      <c r="X254" s="70"/>
      <c r="Y254" s="71"/>
      <c r="Z254" s="10"/>
      <c r="AA254" s="42"/>
      <c r="AB254" s="11"/>
      <c r="AC254" s="10"/>
      <c r="AD254" s="42"/>
      <c r="AE254" s="70"/>
      <c r="AF254" s="71"/>
      <c r="AG254" s="70"/>
      <c r="AH254" s="70"/>
      <c r="AI254" s="71"/>
      <c r="AJ254" s="64" t="str">
        <f t="shared" si="51"/>
        <v/>
      </c>
      <c r="AK254" s="64" t="str">
        <f t="shared" si="52"/>
        <v/>
      </c>
      <c r="AL254" s="66"/>
      <c r="AM254" s="66"/>
    </row>
    <row r="255" spans="1:39" s="67" customFormat="1" ht="24" hidden="1" customHeight="1" x14ac:dyDescent="0.15">
      <c r="A255" s="146">
        <v>239</v>
      </c>
      <c r="B255" s="121"/>
      <c r="C255" s="419"/>
      <c r="D255" s="419"/>
      <c r="E255" s="517"/>
      <c r="F255" s="517"/>
      <c r="G255" s="356"/>
      <c r="H255" s="351"/>
      <c r="I255" s="351"/>
      <c r="J255" s="356"/>
      <c r="K255" s="355"/>
      <c r="L255" s="420"/>
      <c r="M255" s="420"/>
      <c r="N255" s="528"/>
      <c r="O255" s="528"/>
      <c r="P255" s="322"/>
      <c r="Q255" s="322"/>
      <c r="R255" s="322"/>
      <c r="S255" s="264"/>
      <c r="T255" s="70"/>
      <c r="U255" s="70"/>
      <c r="V255" s="71"/>
      <c r="W255" s="70"/>
      <c r="X255" s="70"/>
      <c r="Y255" s="71"/>
      <c r="Z255" s="10"/>
      <c r="AA255" s="42"/>
      <c r="AB255" s="11"/>
      <c r="AC255" s="10"/>
      <c r="AD255" s="42"/>
      <c r="AE255" s="70"/>
      <c r="AF255" s="71"/>
      <c r="AG255" s="70"/>
      <c r="AH255" s="70"/>
      <c r="AI255" s="71"/>
      <c r="AJ255" s="64" t="str">
        <f t="shared" si="51"/>
        <v/>
      </c>
      <c r="AK255" s="64" t="str">
        <f t="shared" si="52"/>
        <v/>
      </c>
      <c r="AL255" s="66"/>
      <c r="AM255" s="66"/>
    </row>
    <row r="256" spans="1:39" s="67" customFormat="1" ht="24" hidden="1" customHeight="1" x14ac:dyDescent="0.15">
      <c r="A256" s="146">
        <v>240</v>
      </c>
      <c r="B256" s="121"/>
      <c r="C256" s="421"/>
      <c r="D256" s="419"/>
      <c r="E256" s="518"/>
      <c r="F256" s="518"/>
      <c r="G256" s="352"/>
      <c r="H256" s="351"/>
      <c r="I256" s="351"/>
      <c r="J256" s="352"/>
      <c r="K256" s="355"/>
      <c r="L256" s="420"/>
      <c r="M256" s="420"/>
      <c r="N256" s="528"/>
      <c r="O256" s="528"/>
      <c r="P256" s="322"/>
      <c r="Q256" s="322"/>
      <c r="R256" s="322"/>
      <c r="S256" s="264"/>
      <c r="T256" s="72" t="s">
        <v>37</v>
      </c>
      <c r="U256" s="72">
        <f>COUNTIF(D237:D256,"철")</f>
        <v>0</v>
      </c>
      <c r="V256" s="73">
        <f>COUNTIF(I237:I256,"철")</f>
        <v>0</v>
      </c>
      <c r="W256" s="72" t="s">
        <v>26</v>
      </c>
      <c r="X256" s="72">
        <f>SUMIF(D237:D256,"철",F237:F256)</f>
        <v>0</v>
      </c>
      <c r="Y256" s="73">
        <f>SUMIF(I237:I256,"철",K237:K256)</f>
        <v>0</v>
      </c>
      <c r="Z256" s="10">
        <f>COUNTIF(AJ237:AJ256,"철국")+COUNTIF(AJ237:AJ256,"철공")</f>
        <v>0</v>
      </c>
      <c r="AA256" s="42">
        <f>COUNTIF(AK237:AK256,"철국")+COUNTIF(AK237:AK256,"철공")</f>
        <v>0</v>
      </c>
      <c r="AB256" s="12" t="s">
        <v>26</v>
      </c>
      <c r="AC256" s="10">
        <f>SUMIF(AJ237:AJ256,"철국",F237:F256)+SUMIF(AJ237:AJ256,"철공",F237:F256)</f>
        <v>0</v>
      </c>
      <c r="AD256" s="42">
        <f>SUMIF(AK237:AK256,"철국",K237:K256)+SUMIF(AK237:AK256,"철공",K237:K256)</f>
        <v>0</v>
      </c>
      <c r="AE256" s="72"/>
      <c r="AF256" s="73"/>
      <c r="AG256" s="72"/>
      <c r="AH256" s="72"/>
      <c r="AI256" s="73"/>
      <c r="AJ256" s="64" t="str">
        <f t="shared" si="51"/>
        <v/>
      </c>
      <c r="AK256" s="64" t="str">
        <f t="shared" si="52"/>
        <v/>
      </c>
      <c r="AL256" s="66"/>
      <c r="AM256" s="66"/>
    </row>
    <row r="257" spans="1:38" s="57" customFormat="1" ht="24" hidden="1" customHeight="1" thickBot="1" x14ac:dyDescent="0.2">
      <c r="A257" s="147" t="s">
        <v>48</v>
      </c>
      <c r="B257" s="148"/>
      <c r="C257" s="148"/>
      <c r="D257" s="148"/>
      <c r="E257" s="148"/>
      <c r="F257" s="149">
        <f>SUM(F237:F256)</f>
        <v>0</v>
      </c>
      <c r="G257" s="496"/>
      <c r="H257" s="496"/>
      <c r="I257" s="497"/>
      <c r="J257" s="552"/>
      <c r="K257" s="544">
        <f>SUM(K237:K256)</f>
        <v>0</v>
      </c>
      <c r="L257" s="150"/>
      <c r="M257" s="150"/>
      <c r="N257" s="432"/>
      <c r="O257" s="432"/>
      <c r="P257" s="150"/>
      <c r="Q257" s="150"/>
      <c r="R257" s="150"/>
      <c r="S257" s="151"/>
      <c r="T257" s="62" t="s">
        <v>24</v>
      </c>
      <c r="U257" s="63">
        <f t="shared" ref="U257:AA257" si="53">SUM(U237:U256)</f>
        <v>0</v>
      </c>
      <c r="V257" s="63">
        <f t="shared" si="53"/>
        <v>0</v>
      </c>
      <c r="W257" s="63">
        <f t="shared" si="53"/>
        <v>0</v>
      </c>
      <c r="X257" s="63">
        <f t="shared" si="53"/>
        <v>0</v>
      </c>
      <c r="Y257" s="63">
        <f t="shared" si="53"/>
        <v>0</v>
      </c>
      <c r="Z257" s="37">
        <f t="shared" si="53"/>
        <v>0</v>
      </c>
      <c r="AA257" s="43">
        <f t="shared" si="53"/>
        <v>0</v>
      </c>
      <c r="AB257" s="37" t="s">
        <v>26</v>
      </c>
      <c r="AC257" s="37">
        <f>SUM(AC237:AC256)</f>
        <v>0</v>
      </c>
      <c r="AD257" s="43">
        <f>SUM(AD237:AD256)</f>
        <v>0</v>
      </c>
      <c r="AE257" s="63">
        <f>SUM(AE237:AE256)</f>
        <v>0</v>
      </c>
      <c r="AF257" s="63">
        <f>SUM(AF237:AF256)</f>
        <v>0</v>
      </c>
      <c r="AG257" s="63" t="s">
        <v>26</v>
      </c>
      <c r="AH257" s="63">
        <f>SUM(AH237:AH256)</f>
        <v>0</v>
      </c>
      <c r="AI257" s="63">
        <f>SUM(AI237:AI256)</f>
        <v>0</v>
      </c>
      <c r="AJ257" s="63"/>
    </row>
    <row r="258" spans="1:38" s="67" customFormat="1" ht="24.95" hidden="1" customHeight="1" x14ac:dyDescent="0.15">
      <c r="A258" s="139">
        <v>241</v>
      </c>
      <c r="B258" s="536"/>
      <c r="C258" s="419"/>
      <c r="D258" s="419"/>
      <c r="E258" s="519"/>
      <c r="F258" s="517"/>
      <c r="G258" s="352"/>
      <c r="H258" s="351"/>
      <c r="I258" s="351"/>
      <c r="J258" s="352"/>
      <c r="K258" s="355"/>
      <c r="L258" s="420"/>
      <c r="M258" s="420"/>
      <c r="N258" s="528"/>
      <c r="O258" s="528"/>
      <c r="P258" s="387"/>
      <c r="Q258" s="387"/>
      <c r="R258" s="387"/>
      <c r="S258" s="285"/>
      <c r="T258" s="64" t="s">
        <v>27</v>
      </c>
      <c r="U258" s="64">
        <f>COUNTIF(D258:D277,"전")</f>
        <v>0</v>
      </c>
      <c r="V258" s="65">
        <f>COUNTIF(I258:I277,"전")</f>
        <v>0</v>
      </c>
      <c r="W258" s="64" t="s">
        <v>26</v>
      </c>
      <c r="X258" s="64">
        <f>SUMIF(D258:D277,"전",F258:F277)</f>
        <v>0</v>
      </c>
      <c r="Y258" s="65">
        <f>SUMIF(I258:I277,"전",K258:K277)</f>
        <v>0</v>
      </c>
      <c r="Z258" s="10">
        <f>COUNTIF(AJ258:AJ277,"전국")+COUNTIF(AJ258:AJ277,"전공")</f>
        <v>0</v>
      </c>
      <c r="AA258" s="42">
        <f>COUNTIF(AK258:AK277,"전국")+COUNTIF(AK258:AK277,"전공")</f>
        <v>0</v>
      </c>
      <c r="AB258" s="10" t="s">
        <v>26</v>
      </c>
      <c r="AC258" s="10">
        <f>SUMIF(AJ258:AJ277,"전국",F258:F277)+SUMIF(AJ258:AJ277,"전공",F258:F277)</f>
        <v>0</v>
      </c>
      <c r="AD258" s="42">
        <f>SUMIF(AK258:AK277,"전국",K258:K277)+SUMIF(AK258:AK277,"전공",K258:K277)</f>
        <v>0</v>
      </c>
      <c r="AE258" s="64">
        <f t="shared" ref="AE258:AF274" si="54">U258-Z258</f>
        <v>0</v>
      </c>
      <c r="AF258" s="65">
        <f t="shared" si="54"/>
        <v>0</v>
      </c>
      <c r="AG258" s="64" t="s">
        <v>26</v>
      </c>
      <c r="AH258" s="64">
        <f t="shared" ref="AH258:AI274" si="55">X258-AC258</f>
        <v>0</v>
      </c>
      <c r="AI258" s="65">
        <f t="shared" si="55"/>
        <v>0</v>
      </c>
      <c r="AJ258" s="64" t="str">
        <f t="shared" ref="AJ258:AJ277" si="56">CONCATENATE(D258,L258)</f>
        <v/>
      </c>
      <c r="AK258" s="64" t="str">
        <f t="shared" ref="AK258:AK277" si="57">CONCATENATE(I258,L258)</f>
        <v/>
      </c>
      <c r="AL258" s="66"/>
    </row>
    <row r="259" spans="1:38" s="67" customFormat="1" ht="24.95" hidden="1" customHeight="1" x14ac:dyDescent="0.15">
      <c r="A259" s="146">
        <v>242</v>
      </c>
      <c r="B259" s="121"/>
      <c r="C259" s="419"/>
      <c r="D259" s="419"/>
      <c r="E259" s="517"/>
      <c r="F259" s="517"/>
      <c r="G259" s="352"/>
      <c r="H259" s="351"/>
      <c r="I259" s="351"/>
      <c r="J259" s="352"/>
      <c r="K259" s="355"/>
      <c r="L259" s="420"/>
      <c r="M259" s="420"/>
      <c r="N259" s="528"/>
      <c r="O259" s="528"/>
      <c r="P259" s="322"/>
      <c r="Q259" s="322"/>
      <c r="R259" s="322"/>
      <c r="S259" s="264"/>
      <c r="T259" s="64" t="s">
        <v>28</v>
      </c>
      <c r="U259" s="64">
        <f>COUNTIF(D258:D277,"답")</f>
        <v>0</v>
      </c>
      <c r="V259" s="65">
        <f>COUNTIF(I258:I277,"답")</f>
        <v>0</v>
      </c>
      <c r="W259" s="64" t="s">
        <v>26</v>
      </c>
      <c r="X259" s="64">
        <f>SUMIF(D258:D277,"답",F258:F277)</f>
        <v>0</v>
      </c>
      <c r="Y259" s="65">
        <f>SUMIF(I258:I277,"답",K258:K277)</f>
        <v>0</v>
      </c>
      <c r="Z259" s="10">
        <f>COUNTIF(AJ258:AJ277,"답국")+COUNTIF(AJ258:AJ277,"답공")</f>
        <v>0</v>
      </c>
      <c r="AA259" s="42">
        <f>COUNTIF(AK258:AK277,"답국")+COUNTIF(AK258:AK277,"답공")</f>
        <v>0</v>
      </c>
      <c r="AB259" s="10" t="s">
        <v>26</v>
      </c>
      <c r="AC259" s="10">
        <f>SUMIF(AJ258:AJ277,"답국",F258:F277)+SUMIF(AJ258:AJ277,"답공",F258:F277)</f>
        <v>0</v>
      </c>
      <c r="AD259" s="42">
        <f>SUMIF(AK258:AK277,"답국",K258:K277)+SUMIF(AK258:AK277,"답공",K258:K277)</f>
        <v>0</v>
      </c>
      <c r="AE259" s="64">
        <f t="shared" si="54"/>
        <v>0</v>
      </c>
      <c r="AF259" s="65">
        <f t="shared" si="54"/>
        <v>0</v>
      </c>
      <c r="AG259" s="64" t="s">
        <v>26</v>
      </c>
      <c r="AH259" s="64">
        <f t="shared" si="55"/>
        <v>0</v>
      </c>
      <c r="AI259" s="65">
        <f t="shared" si="55"/>
        <v>0</v>
      </c>
      <c r="AJ259" s="64" t="str">
        <f t="shared" si="56"/>
        <v/>
      </c>
      <c r="AK259" s="64" t="str">
        <f t="shared" si="57"/>
        <v/>
      </c>
      <c r="AL259" s="66"/>
    </row>
    <row r="260" spans="1:38" s="67" customFormat="1" ht="24.95" hidden="1" customHeight="1" x14ac:dyDescent="0.15">
      <c r="A260" s="146">
        <v>243</v>
      </c>
      <c r="B260" s="121"/>
      <c r="C260" s="419"/>
      <c r="D260" s="419"/>
      <c r="E260" s="517"/>
      <c r="F260" s="517"/>
      <c r="G260" s="352"/>
      <c r="H260" s="351"/>
      <c r="I260" s="351"/>
      <c r="J260" s="352"/>
      <c r="K260" s="355"/>
      <c r="L260" s="420"/>
      <c r="M260" s="420"/>
      <c r="N260" s="528"/>
      <c r="O260" s="528"/>
      <c r="P260" s="322"/>
      <c r="Q260" s="322"/>
      <c r="R260" s="322"/>
      <c r="S260" s="264"/>
      <c r="T260" s="64" t="s">
        <v>44</v>
      </c>
      <c r="U260" s="64">
        <f>COUNTIF(D258:D277,"임")</f>
        <v>0</v>
      </c>
      <c r="V260" s="65">
        <f>COUNTIF(I258:I277,"임")</f>
        <v>0</v>
      </c>
      <c r="W260" s="64" t="s">
        <v>26</v>
      </c>
      <c r="X260" s="64">
        <f>SUMIF(D258:D277,"임",F258:F277)</f>
        <v>0</v>
      </c>
      <c r="Y260" s="65">
        <f>SUMIF(I258:I277,"임",K258:K277)</f>
        <v>0</v>
      </c>
      <c r="Z260" s="10">
        <f>COUNTIF(AJ258:AJ277,"임국")+COUNTIF(AJ258:AJ277,"임공")</f>
        <v>0</v>
      </c>
      <c r="AA260" s="42">
        <f>COUNTIF(AK258:AK277,"임국")+COUNTIF(AK258:AK277,"임공")</f>
        <v>0</v>
      </c>
      <c r="AB260" s="10" t="s">
        <v>26</v>
      </c>
      <c r="AC260" s="10">
        <f>SUMIF(AJ258:AJ277,"임국",F258:F277)+SUMIF(AJ258:AJ277,"임공",F258:F277)</f>
        <v>0</v>
      </c>
      <c r="AD260" s="42">
        <f>SUMIF(AK258:AK277,"임국",K258:K277)+SUMIF(AK258:AK277,"임공",K258:K277)</f>
        <v>0</v>
      </c>
      <c r="AE260" s="64">
        <f t="shared" si="54"/>
        <v>0</v>
      </c>
      <c r="AF260" s="65">
        <f t="shared" si="54"/>
        <v>0</v>
      </c>
      <c r="AG260" s="64" t="s">
        <v>26</v>
      </c>
      <c r="AH260" s="64">
        <f t="shared" si="55"/>
        <v>0</v>
      </c>
      <c r="AI260" s="65">
        <f t="shared" si="55"/>
        <v>0</v>
      </c>
      <c r="AJ260" s="64" t="str">
        <f t="shared" si="56"/>
        <v/>
      </c>
      <c r="AK260" s="64" t="str">
        <f t="shared" si="57"/>
        <v/>
      </c>
      <c r="AL260" s="66"/>
    </row>
    <row r="261" spans="1:38" s="67" customFormat="1" ht="24.95" hidden="1" customHeight="1" x14ac:dyDescent="0.15">
      <c r="A261" s="146">
        <v>244</v>
      </c>
      <c r="B261" s="121"/>
      <c r="C261" s="419"/>
      <c r="D261" s="419"/>
      <c r="E261" s="517"/>
      <c r="F261" s="517"/>
      <c r="G261" s="352"/>
      <c r="H261" s="351"/>
      <c r="I261" s="351"/>
      <c r="J261" s="352"/>
      <c r="K261" s="355"/>
      <c r="L261" s="420"/>
      <c r="M261" s="420"/>
      <c r="N261" s="528"/>
      <c r="O261" s="528"/>
      <c r="P261" s="322"/>
      <c r="Q261" s="322"/>
      <c r="R261" s="322"/>
      <c r="S261" s="264"/>
      <c r="T261" s="64" t="s">
        <v>45</v>
      </c>
      <c r="U261" s="64">
        <f>COUNTIF(D258:D277,"대")</f>
        <v>0</v>
      </c>
      <c r="V261" s="65">
        <f>COUNTIF(I258:I277,"대")</f>
        <v>0</v>
      </c>
      <c r="W261" s="64" t="s">
        <v>26</v>
      </c>
      <c r="X261" s="64">
        <f>SUMIF(D258:D277,"대",F258:F277)</f>
        <v>0</v>
      </c>
      <c r="Y261" s="65">
        <f>SUMIF(I258:I277,"대",K258:K277)</f>
        <v>0</v>
      </c>
      <c r="Z261" s="10">
        <f>COUNTIF(AJ258:AJ277,"대국")+COUNTIF(AJ258:AJ277,"대공")</f>
        <v>0</v>
      </c>
      <c r="AA261" s="42">
        <f>COUNTIF(AK258:AK277,"대국")+COUNTIF(AK258:AK277,"대공")</f>
        <v>0</v>
      </c>
      <c r="AB261" s="10" t="s">
        <v>26</v>
      </c>
      <c r="AC261" s="10">
        <f>SUMIF(AJ258:AJ277,"대국",F258:F277)+SUMIF(AJ258:AJ277,"대공",F258:F277)</f>
        <v>0</v>
      </c>
      <c r="AD261" s="42">
        <f>SUMIF(AK258:AK277,"대국",K258:K277)+SUMIF(AK258:AK277,"대공",K258:K277)</f>
        <v>0</v>
      </c>
      <c r="AE261" s="64">
        <f t="shared" si="54"/>
        <v>0</v>
      </c>
      <c r="AF261" s="65">
        <f t="shared" si="54"/>
        <v>0</v>
      </c>
      <c r="AG261" s="64" t="s">
        <v>26</v>
      </c>
      <c r="AH261" s="64">
        <f t="shared" si="55"/>
        <v>0</v>
      </c>
      <c r="AI261" s="65">
        <f t="shared" si="55"/>
        <v>0</v>
      </c>
      <c r="AJ261" s="64" t="str">
        <f t="shared" si="56"/>
        <v/>
      </c>
      <c r="AK261" s="64" t="str">
        <f t="shared" si="57"/>
        <v/>
      </c>
      <c r="AL261" s="66"/>
    </row>
    <row r="262" spans="1:38" s="67" customFormat="1" ht="24.95" hidden="1" customHeight="1" x14ac:dyDescent="0.15">
      <c r="A262" s="146">
        <v>245</v>
      </c>
      <c r="B262" s="121"/>
      <c r="C262" s="419"/>
      <c r="D262" s="419"/>
      <c r="E262" s="517"/>
      <c r="F262" s="517"/>
      <c r="G262" s="352"/>
      <c r="H262" s="351"/>
      <c r="I262" s="351"/>
      <c r="J262" s="352"/>
      <c r="K262" s="355"/>
      <c r="L262" s="420"/>
      <c r="M262" s="420"/>
      <c r="N262" s="528"/>
      <c r="O262" s="528"/>
      <c r="P262" s="322"/>
      <c r="Q262" s="322"/>
      <c r="R262" s="322"/>
      <c r="S262" s="264"/>
      <c r="T262" s="64" t="s">
        <v>31</v>
      </c>
      <c r="U262" s="64">
        <f>COUNTIF(D258:D277,"도")</f>
        <v>0</v>
      </c>
      <c r="V262" s="65">
        <f>COUNTIF(I258:I277,"도")</f>
        <v>0</v>
      </c>
      <c r="W262" s="64" t="s">
        <v>26</v>
      </c>
      <c r="X262" s="64">
        <f>SUMIF(D258:D277,"도",F258:F277)</f>
        <v>0</v>
      </c>
      <c r="Y262" s="65">
        <f>SUMIF(I258:I277,"도",K258:K277)</f>
        <v>0</v>
      </c>
      <c r="Z262" s="10">
        <f>COUNTIF(AJ258:AJ277,"도국")+COUNTIF(AJ258:AJ277,"도공")</f>
        <v>0</v>
      </c>
      <c r="AA262" s="42">
        <f>COUNTIF(AK258:AK277,"도국")+COUNTIF(AK258:AK277,"도공")</f>
        <v>0</v>
      </c>
      <c r="AB262" s="10" t="s">
        <v>26</v>
      </c>
      <c r="AC262" s="10">
        <f>SUMIF(AJ258:AJ277,"도국",F258:F277)+SUMIF(AJ258:AJ277,"도공",F258:F277)</f>
        <v>0</v>
      </c>
      <c r="AD262" s="42">
        <f>SUMIF(AK258:AK277,"도국",K258:K277)+SUMIF(AK258:AK277,"도공",K258:K277)</f>
        <v>0</v>
      </c>
      <c r="AE262" s="64">
        <f t="shared" si="54"/>
        <v>0</v>
      </c>
      <c r="AF262" s="65">
        <f t="shared" si="54"/>
        <v>0</v>
      </c>
      <c r="AG262" s="64" t="s">
        <v>26</v>
      </c>
      <c r="AH262" s="64">
        <f t="shared" si="55"/>
        <v>0</v>
      </c>
      <c r="AI262" s="65">
        <f t="shared" si="55"/>
        <v>0</v>
      </c>
      <c r="AJ262" s="64" t="str">
        <f t="shared" si="56"/>
        <v/>
      </c>
      <c r="AK262" s="64" t="str">
        <f t="shared" si="57"/>
        <v/>
      </c>
      <c r="AL262" s="66"/>
    </row>
    <row r="263" spans="1:38" s="67" customFormat="1" ht="24.95" hidden="1" customHeight="1" x14ac:dyDescent="0.15">
      <c r="A263" s="146">
        <v>246</v>
      </c>
      <c r="B263" s="121"/>
      <c r="C263" s="419"/>
      <c r="D263" s="419"/>
      <c r="E263" s="517"/>
      <c r="F263" s="517"/>
      <c r="G263" s="352"/>
      <c r="H263" s="351"/>
      <c r="I263" s="351"/>
      <c r="J263" s="352"/>
      <c r="K263" s="355"/>
      <c r="L263" s="420"/>
      <c r="M263" s="420"/>
      <c r="N263" s="528"/>
      <c r="O263" s="528"/>
      <c r="P263" s="322"/>
      <c r="Q263" s="322"/>
      <c r="R263" s="322"/>
      <c r="S263" s="264"/>
      <c r="T263" s="64" t="s">
        <v>32</v>
      </c>
      <c r="U263" s="68">
        <f>COUNTIF(D258:D277,"천")</f>
        <v>0</v>
      </c>
      <c r="V263" s="69">
        <f>COUNTIF(I258:I277,"천")</f>
        <v>0</v>
      </c>
      <c r="W263" s="64" t="s">
        <v>26</v>
      </c>
      <c r="X263" s="64">
        <f>SUMIF(D258:D277,"천",F258:F277)</f>
        <v>0</v>
      </c>
      <c r="Y263" s="65">
        <f>SUMIF(I258:I277,"천",K258:K277)</f>
        <v>0</v>
      </c>
      <c r="Z263" s="10">
        <f>COUNTIF(AJ258:AJ277,"천국")+COUNTIF(AJ258:AJ277,"천공")</f>
        <v>0</v>
      </c>
      <c r="AA263" s="42">
        <f>COUNTIF(AK258:AK277,"천국")+COUNTIF(AK258:AK277,"천공")</f>
        <v>0</v>
      </c>
      <c r="AB263" s="10" t="s">
        <v>26</v>
      </c>
      <c r="AC263" s="10">
        <f>SUMIF(AJ258:AJ277,"천국",F258:F277)+SUMIF(AJ258:AJ277,"천공",F258:F277)</f>
        <v>0</v>
      </c>
      <c r="AD263" s="42">
        <f>SUMIF(AK258:AK277,"천국",K258:K277)+SUMIF(AK258:AK277,"천공",K258:K277)</f>
        <v>0</v>
      </c>
      <c r="AE263" s="64">
        <f t="shared" si="54"/>
        <v>0</v>
      </c>
      <c r="AF263" s="65">
        <f t="shared" si="54"/>
        <v>0</v>
      </c>
      <c r="AG263" s="64" t="s">
        <v>26</v>
      </c>
      <c r="AH263" s="64">
        <f t="shared" si="55"/>
        <v>0</v>
      </c>
      <c r="AI263" s="65">
        <f t="shared" si="55"/>
        <v>0</v>
      </c>
      <c r="AJ263" s="64" t="str">
        <f t="shared" si="56"/>
        <v/>
      </c>
      <c r="AK263" s="64" t="str">
        <f t="shared" si="57"/>
        <v/>
      </c>
      <c r="AL263" s="66"/>
    </row>
    <row r="264" spans="1:38" s="67" customFormat="1" ht="24.95" hidden="1" customHeight="1" x14ac:dyDescent="0.15">
      <c r="A264" s="146">
        <v>247</v>
      </c>
      <c r="B264" s="121"/>
      <c r="C264" s="327"/>
      <c r="D264" s="121"/>
      <c r="E264" s="125"/>
      <c r="F264" s="125"/>
      <c r="G264" s="352"/>
      <c r="H264" s="351"/>
      <c r="I264" s="351"/>
      <c r="J264" s="352"/>
      <c r="K264" s="355"/>
      <c r="L264" s="314"/>
      <c r="M264" s="322"/>
      <c r="N264" s="434"/>
      <c r="O264" s="435"/>
      <c r="P264" s="322"/>
      <c r="Q264" s="322"/>
      <c r="R264" s="322"/>
      <c r="S264" s="264"/>
      <c r="T264" s="64" t="s">
        <v>33</v>
      </c>
      <c r="U264" s="64">
        <f>COUNTIF(D258:D277,"구")</f>
        <v>0</v>
      </c>
      <c r="V264" s="65">
        <f>COUNTIF(I258:I277,"구")</f>
        <v>0</v>
      </c>
      <c r="W264" s="64" t="s">
        <v>26</v>
      </c>
      <c r="X264" s="64">
        <f>SUMIF(D258:D277,"구",F258:F277)</f>
        <v>0</v>
      </c>
      <c r="Y264" s="65">
        <f>SUMIF(I258:I277,"구",K258:K277)</f>
        <v>0</v>
      </c>
      <c r="Z264" s="10">
        <f>COUNTIF(AJ258:AJ277,"구국")+COUNTIF(AJ258:AJ277,"구공")</f>
        <v>0</v>
      </c>
      <c r="AA264" s="42">
        <f>COUNTIF(AK258:AK277,"구국")+COUNTIF(AK258:AK277,"구공")</f>
        <v>0</v>
      </c>
      <c r="AB264" s="10" t="s">
        <v>26</v>
      </c>
      <c r="AC264" s="10">
        <f>SUMIF(AJ258:AJ277,"구국",F258:F277)+SUMIF(AJ258:AJ277,"구공",F258:F277)</f>
        <v>0</v>
      </c>
      <c r="AD264" s="42">
        <f>SUMIF(AK258:AK277,"구국",K258:K277)+SUMIF(AK258:AK277,"구공",K258:K277)</f>
        <v>0</v>
      </c>
      <c r="AE264" s="64">
        <f t="shared" si="54"/>
        <v>0</v>
      </c>
      <c r="AF264" s="65">
        <f t="shared" si="54"/>
        <v>0</v>
      </c>
      <c r="AG264" s="64" t="s">
        <v>26</v>
      </c>
      <c r="AH264" s="64">
        <f t="shared" si="55"/>
        <v>0</v>
      </c>
      <c r="AI264" s="65">
        <f t="shared" si="55"/>
        <v>0</v>
      </c>
      <c r="AJ264" s="64" t="str">
        <f t="shared" si="56"/>
        <v/>
      </c>
      <c r="AK264" s="64" t="str">
        <f t="shared" si="57"/>
        <v/>
      </c>
      <c r="AL264" s="66"/>
    </row>
    <row r="265" spans="1:38" s="67" customFormat="1" ht="24.95" hidden="1" customHeight="1" x14ac:dyDescent="0.15">
      <c r="A265" s="146">
        <v>248</v>
      </c>
      <c r="B265" s="121"/>
      <c r="C265" s="574"/>
      <c r="D265" s="574"/>
      <c r="E265" s="575"/>
      <c r="F265" s="575"/>
      <c r="G265" s="576"/>
      <c r="H265" s="577"/>
      <c r="I265" s="577"/>
      <c r="J265" s="576"/>
      <c r="K265" s="578"/>
      <c r="L265" s="579"/>
      <c r="M265" s="579"/>
      <c r="N265" s="580"/>
      <c r="O265" s="580"/>
      <c r="P265" s="322"/>
      <c r="Q265" s="322"/>
      <c r="R265" s="322"/>
      <c r="S265" s="264"/>
      <c r="T265" s="64" t="s">
        <v>34</v>
      </c>
      <c r="U265" s="64">
        <f>COUNTIF(D258:D277,"제")</f>
        <v>0</v>
      </c>
      <c r="V265" s="65">
        <f>COUNTIF(I258:I277,"제")</f>
        <v>0</v>
      </c>
      <c r="W265" s="64" t="s">
        <v>26</v>
      </c>
      <c r="X265" s="64">
        <f>SUMIF(D258:D277,"제",F258:F277)</f>
        <v>0</v>
      </c>
      <c r="Y265" s="65">
        <f>SUMIF(I258:I277,"제",K258:K277)</f>
        <v>0</v>
      </c>
      <c r="Z265" s="10">
        <f>COUNTIF(AJ258:AJ277,"제국")+COUNTIF(AJ258:AJ277,"제공")</f>
        <v>0</v>
      </c>
      <c r="AA265" s="42">
        <f>COUNTIF(AK258:AK277,"제국")+COUNTIF(AK258:AK277,"제공")</f>
        <v>0</v>
      </c>
      <c r="AB265" s="10" t="s">
        <v>26</v>
      </c>
      <c r="AC265" s="10">
        <f>SUMIF(AJ258:AJ277,"제국",F258:F277)+SUMIF(AJ258:AJ277,"제공",F258:F277)</f>
        <v>0</v>
      </c>
      <c r="AD265" s="42">
        <f>SUMIF(AK258:AK277,"제국",K258:K277)+SUMIF(AK258:AK277,"제공",K258:K277)</f>
        <v>0</v>
      </c>
      <c r="AE265" s="64">
        <f t="shared" si="54"/>
        <v>0</v>
      </c>
      <c r="AF265" s="65">
        <f t="shared" si="54"/>
        <v>0</v>
      </c>
      <c r="AG265" s="64" t="s">
        <v>26</v>
      </c>
      <c r="AH265" s="64">
        <f t="shared" si="55"/>
        <v>0</v>
      </c>
      <c r="AI265" s="65">
        <f t="shared" si="55"/>
        <v>0</v>
      </c>
      <c r="AJ265" s="64" t="str">
        <f t="shared" si="56"/>
        <v/>
      </c>
      <c r="AK265" s="64" t="str">
        <f t="shared" si="57"/>
        <v/>
      </c>
      <c r="AL265" s="66"/>
    </row>
    <row r="266" spans="1:38" s="67" customFormat="1" ht="24.95" hidden="1" customHeight="1" x14ac:dyDescent="0.15">
      <c r="A266" s="146">
        <v>249</v>
      </c>
      <c r="B266" s="121"/>
      <c r="C266" s="419"/>
      <c r="D266" s="419"/>
      <c r="E266" s="517"/>
      <c r="F266" s="517"/>
      <c r="G266" s="352"/>
      <c r="H266" s="351"/>
      <c r="I266" s="351"/>
      <c r="J266" s="352"/>
      <c r="K266" s="355"/>
      <c r="L266" s="420"/>
      <c r="M266" s="420"/>
      <c r="N266" s="528"/>
      <c r="O266" s="528"/>
      <c r="P266" s="322"/>
      <c r="Q266" s="322"/>
      <c r="R266" s="322"/>
      <c r="S266" s="264"/>
      <c r="T266" s="64" t="s">
        <v>46</v>
      </c>
      <c r="U266" s="64">
        <f>COUNTIF(D258:D277,"유")</f>
        <v>0</v>
      </c>
      <c r="V266" s="65">
        <f>COUNTIF(I258:I277,"유")</f>
        <v>0</v>
      </c>
      <c r="W266" s="64" t="s">
        <v>26</v>
      </c>
      <c r="X266" s="64">
        <f>SUMIF(D258:D277,"유",F258:F277)</f>
        <v>0</v>
      </c>
      <c r="Y266" s="65">
        <f>SUMIF(I258:I277,"유",K258:K277)</f>
        <v>0</v>
      </c>
      <c r="Z266" s="10">
        <f>COUNTIF(AJ258:AJ277,"유국")+COUNTIF(AJ258:AJ277,"유공")</f>
        <v>0</v>
      </c>
      <c r="AA266" s="42">
        <f>COUNTIF(AK258:AK277,"유국")+COUNTIF(AK258:AK277,"유공")</f>
        <v>0</v>
      </c>
      <c r="AB266" s="10" t="s">
        <v>26</v>
      </c>
      <c r="AC266" s="10">
        <f>SUMIF(AJ258:AJ277,"유국",F258:F277)+SUMIF(AJ258:AJ277,"유공",F258:F277)</f>
        <v>0</v>
      </c>
      <c r="AD266" s="42">
        <f>SUMIF(AK258:AK277,"유국",K258:K277)+SUMIF(AK258:AK277,"유공",K258:K277)</f>
        <v>0</v>
      </c>
      <c r="AE266" s="64">
        <f t="shared" si="54"/>
        <v>0</v>
      </c>
      <c r="AF266" s="65">
        <f t="shared" si="54"/>
        <v>0</v>
      </c>
      <c r="AG266" s="64" t="s">
        <v>26</v>
      </c>
      <c r="AH266" s="64">
        <f t="shared" si="55"/>
        <v>0</v>
      </c>
      <c r="AI266" s="65">
        <f t="shared" si="55"/>
        <v>0</v>
      </c>
      <c r="AJ266" s="64" t="str">
        <f t="shared" si="56"/>
        <v/>
      </c>
      <c r="AK266" s="64" t="str">
        <f t="shared" si="57"/>
        <v/>
      </c>
      <c r="AL266" s="66"/>
    </row>
    <row r="267" spans="1:38" s="67" customFormat="1" ht="24.95" hidden="1" customHeight="1" x14ac:dyDescent="0.15">
      <c r="A267" s="146">
        <v>250</v>
      </c>
      <c r="B267" s="121"/>
      <c r="C267" s="419"/>
      <c r="D267" s="419"/>
      <c r="E267" s="517"/>
      <c r="F267" s="517"/>
      <c r="G267" s="352"/>
      <c r="H267" s="351"/>
      <c r="I267" s="351"/>
      <c r="J267" s="352"/>
      <c r="K267" s="355"/>
      <c r="L267" s="420"/>
      <c r="M267" s="420"/>
      <c r="N267" s="528"/>
      <c r="O267" s="528"/>
      <c r="P267" s="322"/>
      <c r="Q267" s="322"/>
      <c r="R267" s="322"/>
      <c r="S267" s="264"/>
      <c r="T267" s="64" t="s">
        <v>47</v>
      </c>
      <c r="U267" s="64">
        <f>COUNTIF(D258:D277,"과")</f>
        <v>0</v>
      </c>
      <c r="V267" s="65">
        <f>COUNTIF(I258:I277,"과")</f>
        <v>0</v>
      </c>
      <c r="W267" s="64" t="s">
        <v>26</v>
      </c>
      <c r="X267" s="64">
        <f>SUMIF(D258:D277,"과",F258:F277)</f>
        <v>0</v>
      </c>
      <c r="Y267" s="65">
        <f>SUMIF(I258:I277,"과",K258:K277)</f>
        <v>0</v>
      </c>
      <c r="Z267" s="10">
        <f>COUNTIF(AJ258:AJ277,"과국")+COUNTIF(AJ258:AJ277,"과공")</f>
        <v>0</v>
      </c>
      <c r="AA267" s="42">
        <f>COUNTIF(AK258:AK277,"과국")+COUNTIF(AK258:AK277,"과공")</f>
        <v>0</v>
      </c>
      <c r="AB267" s="10" t="s">
        <v>26</v>
      </c>
      <c r="AC267" s="10">
        <f>SUMIF(AJ258:AJ277,"과국",F258:F277)+SUMIF(AJ258:AJ277,"과공",F258:F277)</f>
        <v>0</v>
      </c>
      <c r="AD267" s="42">
        <f>SUMIF(AK258:AK277,"과국",K258:K277)+SUMIF(AK258:AK277,"과공",K258:K277)</f>
        <v>0</v>
      </c>
      <c r="AE267" s="64">
        <f t="shared" si="54"/>
        <v>0</v>
      </c>
      <c r="AF267" s="65">
        <f t="shared" si="54"/>
        <v>0</v>
      </c>
      <c r="AG267" s="64" t="s">
        <v>26</v>
      </c>
      <c r="AH267" s="64">
        <f t="shared" si="55"/>
        <v>0</v>
      </c>
      <c r="AI267" s="65">
        <f t="shared" si="55"/>
        <v>0</v>
      </c>
      <c r="AJ267" s="64" t="str">
        <f t="shared" si="56"/>
        <v/>
      </c>
      <c r="AK267" s="64" t="str">
        <f t="shared" si="57"/>
        <v/>
      </c>
      <c r="AL267" s="66"/>
    </row>
    <row r="268" spans="1:38" s="67" customFormat="1" ht="24.95" hidden="1" customHeight="1" x14ac:dyDescent="0.15">
      <c r="A268" s="146">
        <v>251</v>
      </c>
      <c r="B268" s="121"/>
      <c r="C268" s="327"/>
      <c r="D268" s="121"/>
      <c r="E268" s="126"/>
      <c r="F268" s="126"/>
      <c r="G268" s="356"/>
      <c r="H268" s="351"/>
      <c r="I268" s="351"/>
      <c r="J268" s="356"/>
      <c r="K268" s="355"/>
      <c r="L268" s="314"/>
      <c r="M268" s="322"/>
      <c r="N268" s="453"/>
      <c r="O268" s="528"/>
      <c r="P268" s="322"/>
      <c r="Q268" s="322"/>
      <c r="R268" s="322"/>
      <c r="S268" s="264"/>
      <c r="T268" s="64" t="s">
        <v>36</v>
      </c>
      <c r="U268" s="64">
        <f>COUNTIF(D258:D277,"묘")</f>
        <v>0</v>
      </c>
      <c r="V268" s="65">
        <f>COUNTIF(I258:I277,"묘")</f>
        <v>0</v>
      </c>
      <c r="W268" s="64" t="s">
        <v>26</v>
      </c>
      <c r="X268" s="64">
        <f>SUMIF(D258:D277,"묘",F258:F277)</f>
        <v>0</v>
      </c>
      <c r="Y268" s="65">
        <f>SUMIF(I258:I277,"묘",K258:K277)</f>
        <v>0</v>
      </c>
      <c r="Z268" s="10">
        <f>COUNTIF(AJ258:AJ277,"묘국")+COUNTIF(AJ258:AJ277,"묘공")</f>
        <v>0</v>
      </c>
      <c r="AA268" s="42">
        <f>COUNTIF(AK258:AK277,"묘국")+COUNTIF(AK258:AK277,"묘공")</f>
        <v>0</v>
      </c>
      <c r="AB268" s="10" t="s">
        <v>26</v>
      </c>
      <c r="AC268" s="10">
        <f>SUMIF(AJ258:AJ277,"묘국",F258:F277)+SUMIF(AJ258:AJ277,"묘공",F258:F277)</f>
        <v>0</v>
      </c>
      <c r="AD268" s="42">
        <f>SUMIF(AK258:AK277,"묘국",K258:K277)+SUMIF(AK258:AK277,"묘공",K258:K277)</f>
        <v>0</v>
      </c>
      <c r="AE268" s="64">
        <f t="shared" si="54"/>
        <v>0</v>
      </c>
      <c r="AF268" s="65">
        <f t="shared" si="54"/>
        <v>0</v>
      </c>
      <c r="AG268" s="64" t="s">
        <v>26</v>
      </c>
      <c r="AH268" s="64">
        <f t="shared" si="55"/>
        <v>0</v>
      </c>
      <c r="AI268" s="65">
        <f t="shared" si="55"/>
        <v>0</v>
      </c>
      <c r="AJ268" s="64" t="str">
        <f t="shared" si="56"/>
        <v/>
      </c>
      <c r="AK268" s="64" t="str">
        <f t="shared" si="57"/>
        <v/>
      </c>
      <c r="AL268" s="66"/>
    </row>
    <row r="269" spans="1:38" s="67" customFormat="1" ht="24.95" hidden="1" customHeight="1" x14ac:dyDescent="0.15">
      <c r="A269" s="146">
        <v>252</v>
      </c>
      <c r="B269" s="121"/>
      <c r="C269" s="327"/>
      <c r="D269" s="121"/>
      <c r="E269" s="125"/>
      <c r="F269" s="125"/>
      <c r="G269" s="352"/>
      <c r="H269" s="351"/>
      <c r="I269" s="351"/>
      <c r="J269" s="352"/>
      <c r="K269" s="355"/>
      <c r="L269" s="314"/>
      <c r="M269" s="322"/>
      <c r="N269" s="453"/>
      <c r="O269" s="435"/>
      <c r="P269" s="322"/>
      <c r="Q269" s="322"/>
      <c r="R269" s="322"/>
      <c r="S269" s="264"/>
      <c r="T269" s="64" t="s">
        <v>39</v>
      </c>
      <c r="U269" s="64">
        <f>COUNTIF(D258:D277,"수")</f>
        <v>0</v>
      </c>
      <c r="V269" s="65">
        <f>COUNTIF(I258:I277,"수")</f>
        <v>0</v>
      </c>
      <c r="W269" s="64" t="s">
        <v>26</v>
      </c>
      <c r="X269" s="64">
        <f>SUMIF(D258:D277,"수",F258:F277)</f>
        <v>0</v>
      </c>
      <c r="Y269" s="65">
        <f>SUMIF(I258:I277,"수",K258:K277)</f>
        <v>0</v>
      </c>
      <c r="Z269" s="10">
        <f>COUNTIF(AJ258:AJ277,"수국")+COUNTIF(AJ258:AJ277,"수공")</f>
        <v>0</v>
      </c>
      <c r="AA269" s="42">
        <f>COUNTIF(AK258:AK277,"수국")+COUNTIF(AK258:AK277,"수공")</f>
        <v>0</v>
      </c>
      <c r="AB269" s="10" t="s">
        <v>26</v>
      </c>
      <c r="AC269" s="10">
        <f>SUMIF(AJ258:AJ277,"수국",F258:F277)+SUMIF(AJ258:AJ277,"수공",F258:F277)</f>
        <v>0</v>
      </c>
      <c r="AD269" s="42">
        <f>SUMIF(AK258:AK277,"수국",K258:K277)+SUMIF(AK258:AK277,"수공",K258:K277)</f>
        <v>0</v>
      </c>
      <c r="AE269" s="64">
        <f t="shared" si="54"/>
        <v>0</v>
      </c>
      <c r="AF269" s="65">
        <f t="shared" si="54"/>
        <v>0</v>
      </c>
      <c r="AG269" s="64" t="s">
        <v>26</v>
      </c>
      <c r="AH269" s="64">
        <f t="shared" si="55"/>
        <v>0</v>
      </c>
      <c r="AI269" s="65">
        <f t="shared" si="55"/>
        <v>0</v>
      </c>
      <c r="AJ269" s="64" t="str">
        <f t="shared" si="56"/>
        <v/>
      </c>
      <c r="AK269" s="64" t="str">
        <f t="shared" si="57"/>
        <v/>
      </c>
      <c r="AL269" s="66"/>
    </row>
    <row r="270" spans="1:38" s="67" customFormat="1" ht="24.95" hidden="1" customHeight="1" x14ac:dyDescent="0.15">
      <c r="A270" s="146">
        <v>253</v>
      </c>
      <c r="B270" s="121"/>
      <c r="C270" s="327"/>
      <c r="D270" s="121"/>
      <c r="E270" s="125"/>
      <c r="F270" s="125"/>
      <c r="G270" s="352"/>
      <c r="H270" s="351"/>
      <c r="I270" s="351"/>
      <c r="J270" s="352"/>
      <c r="K270" s="355"/>
      <c r="L270" s="314"/>
      <c r="M270" s="322"/>
      <c r="N270" s="434"/>
      <c r="O270" s="435"/>
      <c r="P270" s="322"/>
      <c r="Q270" s="322"/>
      <c r="R270" s="322"/>
      <c r="S270" s="264"/>
      <c r="T270" s="64" t="s">
        <v>35</v>
      </c>
      <c r="U270" s="64">
        <f>COUNTIF(D258:D277,"잡")</f>
        <v>0</v>
      </c>
      <c r="V270" s="65">
        <f>COUNTIF(I258:I277,"잡")</f>
        <v>0</v>
      </c>
      <c r="W270" s="64" t="s">
        <v>26</v>
      </c>
      <c r="X270" s="64">
        <f>SUMIF(D258:D277,"잡",F258:F277)</f>
        <v>0</v>
      </c>
      <c r="Y270" s="65">
        <f>SUMIF(I258:I277,"잡",K258:K277)</f>
        <v>0</v>
      </c>
      <c r="Z270" s="10">
        <f>COUNTIF(AJ258:AJ277,"잡국")+COUNTIF(AJ258:AJ277,"잡공")</f>
        <v>0</v>
      </c>
      <c r="AA270" s="42">
        <f>COUNTIF(AK258:AK277,"잡국")+COUNTIF(AK258:AK277,"잡공")</f>
        <v>0</v>
      </c>
      <c r="AB270" s="10" t="s">
        <v>26</v>
      </c>
      <c r="AC270" s="10">
        <f>SUMIF(AJ258:AJ277,"잡국",F258:F277)+SUMIF(AJ258:AJ277,"잡공",F258:F277)</f>
        <v>0</v>
      </c>
      <c r="AD270" s="42">
        <f>SUMIF(AK258:AK277,"잡국",K258:K277)+SUMIF(AK258:AK277,"잡공",K258:K277)</f>
        <v>0</v>
      </c>
      <c r="AE270" s="64">
        <f t="shared" si="54"/>
        <v>0</v>
      </c>
      <c r="AF270" s="65">
        <f t="shared" si="54"/>
        <v>0</v>
      </c>
      <c r="AG270" s="64" t="s">
        <v>26</v>
      </c>
      <c r="AH270" s="64">
        <f t="shared" si="55"/>
        <v>0</v>
      </c>
      <c r="AI270" s="65">
        <f t="shared" si="55"/>
        <v>0</v>
      </c>
      <c r="AJ270" s="64" t="str">
        <f t="shared" si="56"/>
        <v/>
      </c>
      <c r="AK270" s="64" t="str">
        <f t="shared" si="57"/>
        <v/>
      </c>
      <c r="AL270" s="66"/>
    </row>
    <row r="271" spans="1:38" s="67" customFormat="1" ht="24.95" hidden="1" customHeight="1" x14ac:dyDescent="0.15">
      <c r="A271" s="146">
        <v>254</v>
      </c>
      <c r="B271" s="121"/>
      <c r="C271" s="327"/>
      <c r="D271" s="121"/>
      <c r="E271" s="125"/>
      <c r="F271" s="125"/>
      <c r="G271" s="352"/>
      <c r="H271" s="351"/>
      <c r="I271" s="351"/>
      <c r="J271" s="352"/>
      <c r="K271" s="355"/>
      <c r="L271" s="314"/>
      <c r="M271" s="322"/>
      <c r="N271" s="453"/>
      <c r="O271" s="435"/>
      <c r="P271" s="322"/>
      <c r="Q271" s="322"/>
      <c r="R271" s="322"/>
      <c r="S271" s="264"/>
      <c r="T271" s="64" t="s">
        <v>51</v>
      </c>
      <c r="U271" s="64">
        <f>COUNTIF(D258:D277,"체")</f>
        <v>0</v>
      </c>
      <c r="V271" s="65">
        <f>COUNTIF(I258:I277,"체")</f>
        <v>0</v>
      </c>
      <c r="W271" s="64" t="s">
        <v>26</v>
      </c>
      <c r="X271" s="64">
        <f>SUMIF(D258:D277,"체",F258:F277)</f>
        <v>0</v>
      </c>
      <c r="Y271" s="65">
        <f>SUMIF(I258:I277,"체",K258:K277)</f>
        <v>0</v>
      </c>
      <c r="Z271" s="10">
        <f>COUNTIF(AJ258:AJ277,"체국")+COUNTIF(AJ258:AJ277,"체공")</f>
        <v>0</v>
      </c>
      <c r="AA271" s="42">
        <f>COUNTIF(AK258:AK277,"체국")+COUNTIF(AK258:AK277,"체공")</f>
        <v>0</v>
      </c>
      <c r="AB271" s="10" t="s">
        <v>26</v>
      </c>
      <c r="AC271" s="10">
        <f>SUMIF(AJ258:AJ277,"체국",F258:F277)+SUMIF(AJ258:AJ277,"체공",F258:F277)</f>
        <v>0</v>
      </c>
      <c r="AD271" s="42">
        <f>SUMIF(AK258:AK277,"체국",K258:K277)+SUMIF(AK258:AK277,"체공",K258:K277)</f>
        <v>0</v>
      </c>
      <c r="AE271" s="64">
        <f t="shared" si="54"/>
        <v>0</v>
      </c>
      <c r="AF271" s="65">
        <f t="shared" si="54"/>
        <v>0</v>
      </c>
      <c r="AG271" s="64" t="s">
        <v>26</v>
      </c>
      <c r="AH271" s="64">
        <f t="shared" si="55"/>
        <v>0</v>
      </c>
      <c r="AI271" s="65">
        <f t="shared" si="55"/>
        <v>0</v>
      </c>
      <c r="AJ271" s="64" t="str">
        <f t="shared" si="56"/>
        <v/>
      </c>
      <c r="AK271" s="64" t="str">
        <f t="shared" si="57"/>
        <v/>
      </c>
      <c r="AL271" s="66"/>
    </row>
    <row r="272" spans="1:38" s="67" customFormat="1" ht="24.95" hidden="1" customHeight="1" x14ac:dyDescent="0.15">
      <c r="A272" s="146">
        <v>255</v>
      </c>
      <c r="B272" s="121"/>
      <c r="C272" s="327"/>
      <c r="D272" s="121"/>
      <c r="E272" s="125"/>
      <c r="F272" s="125"/>
      <c r="G272" s="352"/>
      <c r="H272" s="351"/>
      <c r="I272" s="351"/>
      <c r="J272" s="352"/>
      <c r="K272" s="355"/>
      <c r="L272" s="314"/>
      <c r="M272" s="322"/>
      <c r="N272" s="453"/>
      <c r="O272" s="435"/>
      <c r="P272" s="322"/>
      <c r="Q272" s="322"/>
      <c r="R272" s="322"/>
      <c r="S272" s="264"/>
      <c r="T272" s="64" t="s">
        <v>50</v>
      </c>
      <c r="U272" s="64">
        <f>COUNTIF(D258:D277,"공")</f>
        <v>0</v>
      </c>
      <c r="V272" s="65">
        <f>COUNTIF(I258:I277,"공")</f>
        <v>0</v>
      </c>
      <c r="W272" s="64" t="s">
        <v>26</v>
      </c>
      <c r="X272" s="64">
        <f>SUMIF(D258:D277,"공",F258:F277)</f>
        <v>0</v>
      </c>
      <c r="Y272" s="65">
        <f>SUMIF(I258:I277,"공",K258:K277)</f>
        <v>0</v>
      </c>
      <c r="Z272" s="10">
        <f>COUNTIF(AJ258:AJ277,"공국")+COUNTIF(AJ258:AJ277,"공공")</f>
        <v>0</v>
      </c>
      <c r="AA272" s="42">
        <f>COUNTIF(AK258:AK277,"공국")+COUNTIF(AK258:AK277,"공공")</f>
        <v>0</v>
      </c>
      <c r="AB272" s="10" t="s">
        <v>26</v>
      </c>
      <c r="AC272" s="10">
        <f>SUMIF(AJ258:AJ277,"공국",F258:F277)+SUMIF(AJ258:AJ277,"공공",F258:F277)</f>
        <v>0</v>
      </c>
      <c r="AD272" s="42">
        <f>SUMIF(AK258:AK277,"공국",K258:K277)+SUMIF(AK258:AK277,"공공",K258:K277)</f>
        <v>0</v>
      </c>
      <c r="AE272" s="64">
        <f t="shared" si="54"/>
        <v>0</v>
      </c>
      <c r="AF272" s="65">
        <f t="shared" si="54"/>
        <v>0</v>
      </c>
      <c r="AG272" s="64" t="s">
        <v>26</v>
      </c>
      <c r="AH272" s="64">
        <f t="shared" si="55"/>
        <v>0</v>
      </c>
      <c r="AI272" s="65">
        <f t="shared" si="55"/>
        <v>0</v>
      </c>
      <c r="AJ272" s="64" t="str">
        <f t="shared" si="56"/>
        <v/>
      </c>
      <c r="AK272" s="64" t="str">
        <f t="shared" si="57"/>
        <v/>
      </c>
      <c r="AL272" s="66"/>
    </row>
    <row r="273" spans="1:38" s="67" customFormat="1" ht="24.95" hidden="1" customHeight="1" x14ac:dyDescent="0.15">
      <c r="A273" s="146">
        <v>256</v>
      </c>
      <c r="B273" s="121"/>
      <c r="C273" s="327"/>
      <c r="D273" s="121"/>
      <c r="E273" s="126"/>
      <c r="F273" s="126"/>
      <c r="G273" s="356"/>
      <c r="H273" s="351"/>
      <c r="I273" s="351"/>
      <c r="J273" s="356"/>
      <c r="K273" s="355"/>
      <c r="L273" s="314"/>
      <c r="M273" s="322"/>
      <c r="N273" s="453"/>
      <c r="O273" s="435"/>
      <c r="P273" s="205"/>
      <c r="Q273" s="205"/>
      <c r="R273" s="205"/>
      <c r="S273" s="264"/>
      <c r="T273" s="70" t="s">
        <v>40</v>
      </c>
      <c r="U273" s="64">
        <f>COUNTIF(D258:D277,"장")</f>
        <v>0</v>
      </c>
      <c r="V273" s="65">
        <f>COUNTIF(I258:I277,"장")</f>
        <v>0</v>
      </c>
      <c r="W273" s="64" t="s">
        <v>26</v>
      </c>
      <c r="X273" s="64">
        <f>SUMIF(D258:D277,"장",F258:F277)</f>
        <v>0</v>
      </c>
      <c r="Y273" s="65">
        <f>SUMIF(I258:I277,"장",K258:K277)</f>
        <v>0</v>
      </c>
      <c r="Z273" s="10">
        <f>COUNTIF(AJ258:AJ277,"장국")+COUNTIF(AJ258:AJ277,"장공")</f>
        <v>0</v>
      </c>
      <c r="AA273" s="42">
        <f>COUNTIF(AK258:AK277,"장국")+COUNTIF(AK258:AK277,"장공")</f>
        <v>0</v>
      </c>
      <c r="AB273" s="10" t="s">
        <v>26</v>
      </c>
      <c r="AC273" s="10">
        <f>SUMIF(AJ258:AJ277,"장국",F258:F277)+SUMIF(AJ258:AJ277,"장공",F258:F277)</f>
        <v>0</v>
      </c>
      <c r="AD273" s="42">
        <f>SUMIF(AK258:AK277,"장국",K258:K277)+SUMIF(AK258:AK277,"장공",K258:K277)</f>
        <v>0</v>
      </c>
      <c r="AE273" s="64">
        <f t="shared" si="54"/>
        <v>0</v>
      </c>
      <c r="AF273" s="65">
        <f t="shared" si="54"/>
        <v>0</v>
      </c>
      <c r="AG273" s="64" t="s">
        <v>26</v>
      </c>
      <c r="AH273" s="64">
        <f t="shared" si="55"/>
        <v>0</v>
      </c>
      <c r="AI273" s="65">
        <f t="shared" si="55"/>
        <v>0</v>
      </c>
      <c r="AJ273" s="64" t="str">
        <f t="shared" si="56"/>
        <v/>
      </c>
      <c r="AK273" s="64" t="str">
        <f t="shared" si="57"/>
        <v/>
      </c>
      <c r="AL273" s="66"/>
    </row>
    <row r="274" spans="1:38" s="67" customFormat="1" ht="24.95" hidden="1" customHeight="1" x14ac:dyDescent="0.15">
      <c r="A274" s="146">
        <v>257</v>
      </c>
      <c r="B274" s="121"/>
      <c r="C274" s="327"/>
      <c r="D274" s="121"/>
      <c r="E274" s="125"/>
      <c r="F274" s="125"/>
      <c r="G274" s="352"/>
      <c r="H274" s="351"/>
      <c r="I274" s="351"/>
      <c r="J274" s="352"/>
      <c r="K274" s="355"/>
      <c r="L274" s="314"/>
      <c r="M274" s="322"/>
      <c r="N274" s="453"/>
      <c r="O274" s="435"/>
      <c r="P274" s="205"/>
      <c r="Q274" s="205"/>
      <c r="R274" s="205"/>
      <c r="S274" s="264"/>
      <c r="T274" s="70" t="s">
        <v>5</v>
      </c>
      <c r="U274" s="64">
        <f>COUNTIF(D258:D277,"목")</f>
        <v>0</v>
      </c>
      <c r="V274" s="65">
        <f>COUNTIF(I258:I277,"목")</f>
        <v>0</v>
      </c>
      <c r="W274" s="64" t="s">
        <v>26</v>
      </c>
      <c r="X274" s="64">
        <f>SUMIF(D258:D277,"목",F258:F277)</f>
        <v>0</v>
      </c>
      <c r="Y274" s="65">
        <f>SUMIF(I258:I277,"목",K258:K277)</f>
        <v>0</v>
      </c>
      <c r="Z274" s="10">
        <f>COUNTIF(AJ258:AJ277,"목국")+COUNTIF(AJ258:AJ277,"목공")</f>
        <v>0</v>
      </c>
      <c r="AA274" s="42">
        <f>COUNTIF(AK258:AK277,"목국")+COUNTIF(AK258:AK277,"목공")</f>
        <v>0</v>
      </c>
      <c r="AB274" s="10" t="s">
        <v>26</v>
      </c>
      <c r="AC274" s="10">
        <f>SUMIF(AJ258:AJ277,"목국",F258:F277)+SUMIF(AJ258:AJ277,"목공",F258:F277)</f>
        <v>0</v>
      </c>
      <c r="AD274" s="42">
        <f>SUMIF(AK258:AK277,"목국",K258:K277)+SUMIF(AK258:AK277,"목공",K258:K277)</f>
        <v>0</v>
      </c>
      <c r="AE274" s="64">
        <f t="shared" si="54"/>
        <v>0</v>
      </c>
      <c r="AF274" s="65">
        <f t="shared" si="54"/>
        <v>0</v>
      </c>
      <c r="AG274" s="64" t="s">
        <v>26</v>
      </c>
      <c r="AH274" s="64">
        <f t="shared" si="55"/>
        <v>0</v>
      </c>
      <c r="AI274" s="65">
        <f t="shared" si="55"/>
        <v>0</v>
      </c>
      <c r="AJ274" s="64" t="str">
        <f t="shared" si="56"/>
        <v/>
      </c>
      <c r="AK274" s="64" t="str">
        <f t="shared" si="57"/>
        <v/>
      </c>
      <c r="AL274" s="66"/>
    </row>
    <row r="275" spans="1:38" s="67" customFormat="1" ht="24.95" hidden="1" customHeight="1" x14ac:dyDescent="0.15">
      <c r="A275" s="146">
        <v>258</v>
      </c>
      <c r="B275" s="121"/>
      <c r="C275" s="327"/>
      <c r="D275" s="121"/>
      <c r="E275" s="125"/>
      <c r="F275" s="125"/>
      <c r="G275" s="352"/>
      <c r="H275" s="351"/>
      <c r="I275" s="351"/>
      <c r="J275" s="352"/>
      <c r="K275" s="355"/>
      <c r="L275" s="314"/>
      <c r="M275" s="322"/>
      <c r="N275" s="453"/>
      <c r="O275" s="435"/>
      <c r="P275" s="205"/>
      <c r="Q275" s="205"/>
      <c r="R275" s="205"/>
      <c r="S275" s="264"/>
      <c r="T275" s="70"/>
      <c r="U275" s="70"/>
      <c r="V275" s="71"/>
      <c r="W275" s="70"/>
      <c r="X275" s="70"/>
      <c r="Y275" s="71"/>
      <c r="Z275" s="10"/>
      <c r="AA275" s="42"/>
      <c r="AB275" s="11"/>
      <c r="AC275" s="10"/>
      <c r="AD275" s="42"/>
      <c r="AE275" s="70"/>
      <c r="AF275" s="71"/>
      <c r="AG275" s="70"/>
      <c r="AH275" s="70"/>
      <c r="AI275" s="71"/>
      <c r="AJ275" s="64" t="str">
        <f t="shared" si="56"/>
        <v/>
      </c>
      <c r="AK275" s="64" t="str">
        <f t="shared" si="57"/>
        <v/>
      </c>
      <c r="AL275" s="66"/>
    </row>
    <row r="276" spans="1:38" s="67" customFormat="1" ht="24.95" hidden="1" customHeight="1" x14ac:dyDescent="0.15">
      <c r="A276" s="146">
        <v>259</v>
      </c>
      <c r="B276" s="121"/>
      <c r="C276" s="327"/>
      <c r="D276" s="121"/>
      <c r="E276" s="125"/>
      <c r="F276" s="125"/>
      <c r="G276" s="352"/>
      <c r="H276" s="351"/>
      <c r="I276" s="351"/>
      <c r="J276" s="352"/>
      <c r="K276" s="355"/>
      <c r="L276" s="314"/>
      <c r="M276" s="322"/>
      <c r="N276" s="453"/>
      <c r="O276" s="435"/>
      <c r="P276" s="205"/>
      <c r="Q276" s="205"/>
      <c r="R276" s="205"/>
      <c r="S276" s="264"/>
      <c r="T276" s="70"/>
      <c r="U276" s="70"/>
      <c r="V276" s="71"/>
      <c r="W276" s="70"/>
      <c r="X276" s="70"/>
      <c r="Y276" s="71"/>
      <c r="Z276" s="10"/>
      <c r="AA276" s="42"/>
      <c r="AB276" s="11"/>
      <c r="AC276" s="10"/>
      <c r="AD276" s="42"/>
      <c r="AE276" s="70"/>
      <c r="AF276" s="71"/>
      <c r="AG276" s="70"/>
      <c r="AH276" s="70"/>
      <c r="AI276" s="71"/>
      <c r="AJ276" s="64" t="str">
        <f t="shared" si="56"/>
        <v/>
      </c>
      <c r="AK276" s="64" t="str">
        <f t="shared" si="57"/>
        <v/>
      </c>
      <c r="AL276" s="66"/>
    </row>
    <row r="277" spans="1:38" s="67" customFormat="1" ht="24.95" hidden="1" customHeight="1" x14ac:dyDescent="0.15">
      <c r="A277" s="146">
        <v>260</v>
      </c>
      <c r="B277" s="121"/>
      <c r="C277" s="327"/>
      <c r="D277" s="121"/>
      <c r="E277" s="126"/>
      <c r="F277" s="126"/>
      <c r="G277" s="356"/>
      <c r="H277" s="351"/>
      <c r="I277" s="351"/>
      <c r="J277" s="356"/>
      <c r="K277" s="355"/>
      <c r="L277" s="329"/>
      <c r="M277" s="322"/>
      <c r="N277" s="434"/>
      <c r="O277" s="435"/>
      <c r="P277" s="205"/>
      <c r="Q277" s="205"/>
      <c r="R277" s="205"/>
      <c r="S277" s="276"/>
      <c r="T277" s="72" t="s">
        <v>37</v>
      </c>
      <c r="U277" s="72">
        <f>COUNTIF(D258:D277,"철")</f>
        <v>0</v>
      </c>
      <c r="V277" s="73">
        <f>COUNTIF(I258:I277,"철")</f>
        <v>0</v>
      </c>
      <c r="W277" s="72" t="s">
        <v>26</v>
      </c>
      <c r="X277" s="72">
        <f>SUMIF(D258:D277,"철",F258:F277)</f>
        <v>0</v>
      </c>
      <c r="Y277" s="73">
        <f>SUMIF(I258:I277,"철",K258:K277)</f>
        <v>0</v>
      </c>
      <c r="Z277" s="10">
        <f>COUNTIF(AJ258:AJ277,"철국")+COUNTIF(AJ258:AJ277,"철공")</f>
        <v>0</v>
      </c>
      <c r="AA277" s="42">
        <f>COUNTIF(AK258:AK277,"철국")+COUNTIF(AK258:AK277,"철공")</f>
        <v>0</v>
      </c>
      <c r="AB277" s="12" t="s">
        <v>26</v>
      </c>
      <c r="AC277" s="10">
        <f>SUMIF(AJ258:AJ277,"철국",F258:F277)+SUMIF(AJ258:AJ277,"철공",F258:F277)</f>
        <v>0</v>
      </c>
      <c r="AD277" s="42">
        <f>SUMIF(AK258:AK277,"철국",K258:K277)+SUMIF(AK258:AK277,"철공",K258:K277)</f>
        <v>0</v>
      </c>
      <c r="AE277" s="72"/>
      <c r="AF277" s="73"/>
      <c r="AG277" s="72"/>
      <c r="AH277" s="72"/>
      <c r="AI277" s="73"/>
      <c r="AJ277" s="64" t="str">
        <f t="shared" si="56"/>
        <v/>
      </c>
      <c r="AK277" s="64" t="str">
        <f t="shared" si="57"/>
        <v/>
      </c>
      <c r="AL277" s="66"/>
    </row>
    <row r="278" spans="1:38" s="57" customFormat="1" ht="24.95" hidden="1" customHeight="1" thickBot="1" x14ac:dyDescent="0.2">
      <c r="A278" s="147" t="s">
        <v>48</v>
      </c>
      <c r="B278" s="148"/>
      <c r="C278" s="148"/>
      <c r="D278" s="148"/>
      <c r="E278" s="148"/>
      <c r="F278" s="149">
        <f>SUM(F258:F277)</f>
        <v>0</v>
      </c>
      <c r="G278" s="496"/>
      <c r="H278" s="496"/>
      <c r="I278" s="497"/>
      <c r="J278" s="552"/>
      <c r="K278" s="544">
        <f>SUM(K258:K277)</f>
        <v>0</v>
      </c>
      <c r="L278" s="150"/>
      <c r="M278" s="150"/>
      <c r="N278" s="432"/>
      <c r="O278" s="432"/>
      <c r="P278" s="150"/>
      <c r="Q278" s="150"/>
      <c r="R278" s="150"/>
      <c r="S278" s="151"/>
      <c r="T278" s="62" t="s">
        <v>24</v>
      </c>
      <c r="U278" s="63">
        <f t="shared" ref="U278:AA278" si="58">SUM(U258:U277)</f>
        <v>0</v>
      </c>
      <c r="V278" s="63">
        <f t="shared" si="58"/>
        <v>0</v>
      </c>
      <c r="W278" s="63">
        <f t="shared" si="58"/>
        <v>0</v>
      </c>
      <c r="X278" s="63">
        <f t="shared" si="58"/>
        <v>0</v>
      </c>
      <c r="Y278" s="63">
        <f t="shared" si="58"/>
        <v>0</v>
      </c>
      <c r="Z278" s="37">
        <f t="shared" si="58"/>
        <v>0</v>
      </c>
      <c r="AA278" s="43">
        <f t="shared" si="58"/>
        <v>0</v>
      </c>
      <c r="AB278" s="37" t="s">
        <v>26</v>
      </c>
      <c r="AC278" s="37">
        <f>SUM(AC258:AC277)</f>
        <v>0</v>
      </c>
      <c r="AD278" s="43">
        <f>SUM(AD258:AD277)</f>
        <v>0</v>
      </c>
      <c r="AE278" s="63">
        <f>SUM(AE258:AE277)</f>
        <v>0</v>
      </c>
      <c r="AF278" s="63">
        <f>SUM(AF258:AF277)</f>
        <v>0</v>
      </c>
      <c r="AG278" s="63" t="s">
        <v>26</v>
      </c>
      <c r="AH278" s="63">
        <f>SUM(AH258:AH277)</f>
        <v>0</v>
      </c>
      <c r="AI278" s="63">
        <f>SUM(AI258:AI277)</f>
        <v>0</v>
      </c>
      <c r="AJ278" s="63"/>
    </row>
    <row r="279" spans="1:38" s="67" customFormat="1" ht="24" hidden="1" customHeight="1" x14ac:dyDescent="0.15">
      <c r="A279" s="139">
        <v>261</v>
      </c>
      <c r="B279" s="389"/>
      <c r="C279" s="327"/>
      <c r="D279" s="121"/>
      <c r="E279" s="125"/>
      <c r="F279" s="125"/>
      <c r="G279" s="352"/>
      <c r="H279" s="351"/>
      <c r="I279" s="351"/>
      <c r="J279" s="352"/>
      <c r="K279" s="355"/>
      <c r="L279" s="314"/>
      <c r="M279" s="322"/>
      <c r="N279" s="453"/>
      <c r="O279" s="435"/>
      <c r="P279" s="335"/>
      <c r="Q279" s="335"/>
      <c r="R279" s="335"/>
      <c r="S279" s="391"/>
      <c r="T279" s="64" t="s">
        <v>27</v>
      </c>
      <c r="U279" s="64">
        <f>COUNTIF(D279:D298,"전")</f>
        <v>0</v>
      </c>
      <c r="V279" s="65">
        <f>COUNTIF(I279:I298,"전")</f>
        <v>0</v>
      </c>
      <c r="W279" s="64" t="s">
        <v>26</v>
      </c>
      <c r="X279" s="64">
        <f>SUMIF(D279:D298,"전",F279:F298)</f>
        <v>0</v>
      </c>
      <c r="Y279" s="65">
        <f>SUMIF(I279:I298,"전",K279:K298)</f>
        <v>0</v>
      </c>
      <c r="Z279" s="10">
        <f>COUNTIF(AJ279:AJ298,"전국")+COUNTIF(AJ279:AJ298,"전공")</f>
        <v>0</v>
      </c>
      <c r="AA279" s="42">
        <f>COUNTIF(AK279:AK298,"전국")+COUNTIF(AK279:AK298,"전공")</f>
        <v>0</v>
      </c>
      <c r="AB279" s="10" t="s">
        <v>26</v>
      </c>
      <c r="AC279" s="10">
        <f>SUMIF(AJ279:AJ298,"전국",F279:F298)+SUMIF(AJ279:AJ298,"전공",F279:F298)</f>
        <v>0</v>
      </c>
      <c r="AD279" s="42">
        <f>SUMIF(AK279:AK298,"전국",K279:K298)+SUMIF(AK279:AK298,"전공",K279:K298)</f>
        <v>0</v>
      </c>
      <c r="AE279" s="64">
        <f t="shared" ref="AE279:AF295" si="59">U279-Z279</f>
        <v>0</v>
      </c>
      <c r="AF279" s="65">
        <f t="shared" si="59"/>
        <v>0</v>
      </c>
      <c r="AG279" s="64" t="s">
        <v>26</v>
      </c>
      <c r="AH279" s="64">
        <f t="shared" ref="AH279:AI295" si="60">X279-AC279</f>
        <v>0</v>
      </c>
      <c r="AI279" s="65">
        <f t="shared" si="60"/>
        <v>0</v>
      </c>
      <c r="AJ279" s="64" t="str">
        <f t="shared" ref="AJ279:AJ298" si="61">CONCATENATE(D279,L279)</f>
        <v/>
      </c>
      <c r="AK279" s="64" t="str">
        <f t="shared" ref="AK279:AK298" si="62">CONCATENATE(I279,L279)</f>
        <v/>
      </c>
      <c r="AL279" s="66"/>
    </row>
    <row r="280" spans="1:38" s="67" customFormat="1" ht="24" hidden="1" customHeight="1" x14ac:dyDescent="0.15">
      <c r="A280" s="146">
        <v>262</v>
      </c>
      <c r="B280" s="331"/>
      <c r="C280" s="327"/>
      <c r="D280" s="121"/>
      <c r="E280" s="125"/>
      <c r="F280" s="125"/>
      <c r="G280" s="352"/>
      <c r="H280" s="351"/>
      <c r="I280" s="351"/>
      <c r="J280" s="352"/>
      <c r="K280" s="355"/>
      <c r="L280" s="314"/>
      <c r="M280" s="322"/>
      <c r="N280" s="453"/>
      <c r="O280" s="435"/>
      <c r="P280" s="205"/>
      <c r="Q280" s="205"/>
      <c r="R280" s="205"/>
      <c r="S280" s="276"/>
      <c r="T280" s="64" t="s">
        <v>28</v>
      </c>
      <c r="U280" s="64">
        <f>COUNTIF(D279:D298,"답")</f>
        <v>0</v>
      </c>
      <c r="V280" s="65">
        <f>COUNTIF(I279:I298,"답")</f>
        <v>0</v>
      </c>
      <c r="W280" s="64" t="s">
        <v>26</v>
      </c>
      <c r="X280" s="64">
        <f>SUMIF(D279:D298,"답",F279:F298)</f>
        <v>0</v>
      </c>
      <c r="Y280" s="65">
        <f>SUMIF(I279:I298,"답",K279:K298)</f>
        <v>0</v>
      </c>
      <c r="Z280" s="10">
        <f>COUNTIF(AJ279:AJ298,"답국")+COUNTIF(AJ279:AJ298,"답공")</f>
        <v>0</v>
      </c>
      <c r="AA280" s="42">
        <f>COUNTIF(AK279:AK298,"답국")+COUNTIF(AK279:AK298,"답공")</f>
        <v>0</v>
      </c>
      <c r="AB280" s="10" t="s">
        <v>26</v>
      </c>
      <c r="AC280" s="10">
        <f>SUMIF(AJ279:AJ298,"답국",F279:F298)+SUMIF(AJ279:AJ298,"답공",F279:F298)</f>
        <v>0</v>
      </c>
      <c r="AD280" s="42">
        <f>SUMIF(AK279:AK298,"답국",K279:K298)+SUMIF(AK279:AK298,"답공",K279:K298)</f>
        <v>0</v>
      </c>
      <c r="AE280" s="64">
        <f t="shared" si="59"/>
        <v>0</v>
      </c>
      <c r="AF280" s="65">
        <f t="shared" si="59"/>
        <v>0</v>
      </c>
      <c r="AG280" s="64" t="s">
        <v>26</v>
      </c>
      <c r="AH280" s="64">
        <f t="shared" si="60"/>
        <v>0</v>
      </c>
      <c r="AI280" s="65">
        <f t="shared" si="60"/>
        <v>0</v>
      </c>
      <c r="AJ280" s="64" t="str">
        <f t="shared" si="61"/>
        <v/>
      </c>
      <c r="AK280" s="64" t="str">
        <f t="shared" si="62"/>
        <v/>
      </c>
      <c r="AL280" s="66"/>
    </row>
    <row r="281" spans="1:38" s="67" customFormat="1" ht="24" hidden="1" customHeight="1" x14ac:dyDescent="0.15">
      <c r="A281" s="146">
        <v>263</v>
      </c>
      <c r="B281" s="331"/>
      <c r="C281" s="327"/>
      <c r="D281" s="121"/>
      <c r="E281" s="125"/>
      <c r="F281" s="125"/>
      <c r="G281" s="352"/>
      <c r="H281" s="351"/>
      <c r="I281" s="351"/>
      <c r="J281" s="352"/>
      <c r="K281" s="355"/>
      <c r="L281" s="314"/>
      <c r="M281" s="322"/>
      <c r="N281" s="453"/>
      <c r="O281" s="435"/>
      <c r="P281" s="205"/>
      <c r="Q281" s="205"/>
      <c r="R281" s="205"/>
      <c r="S281" s="276"/>
      <c r="T281" s="64" t="s">
        <v>44</v>
      </c>
      <c r="U281" s="64">
        <f>COUNTIF(D279:D298,"임")</f>
        <v>0</v>
      </c>
      <c r="V281" s="65">
        <f>COUNTIF(I279:I298,"임")</f>
        <v>0</v>
      </c>
      <c r="W281" s="64" t="s">
        <v>26</v>
      </c>
      <c r="X281" s="64">
        <f>SUMIF(D279:D298,"임",F279:F298)</f>
        <v>0</v>
      </c>
      <c r="Y281" s="65">
        <f>SUMIF(I279:I298,"임",K279:K298)</f>
        <v>0</v>
      </c>
      <c r="Z281" s="10">
        <f>COUNTIF(AJ279:AJ298,"임국")+COUNTIF(AJ279:AJ298,"임공")</f>
        <v>0</v>
      </c>
      <c r="AA281" s="42">
        <f>COUNTIF(AK279:AK298,"임국")+COUNTIF(AK279:AK298,"임공")</f>
        <v>0</v>
      </c>
      <c r="AB281" s="10" t="s">
        <v>26</v>
      </c>
      <c r="AC281" s="10">
        <f>SUMIF(AJ279:AJ298,"임국",F279:F298)+SUMIF(AJ279:AJ298,"임공",F279:F298)</f>
        <v>0</v>
      </c>
      <c r="AD281" s="42">
        <f>SUMIF(AK279:AK298,"임국",K279:K298)+SUMIF(AK279:AK298,"임공",K279:K298)</f>
        <v>0</v>
      </c>
      <c r="AE281" s="64">
        <f t="shared" si="59"/>
        <v>0</v>
      </c>
      <c r="AF281" s="65">
        <f t="shared" si="59"/>
        <v>0</v>
      </c>
      <c r="AG281" s="64" t="s">
        <v>26</v>
      </c>
      <c r="AH281" s="64">
        <f t="shared" si="60"/>
        <v>0</v>
      </c>
      <c r="AI281" s="65">
        <f t="shared" si="60"/>
        <v>0</v>
      </c>
      <c r="AJ281" s="64" t="str">
        <f t="shared" si="61"/>
        <v/>
      </c>
      <c r="AK281" s="64" t="str">
        <f t="shared" si="62"/>
        <v/>
      </c>
      <c r="AL281" s="66"/>
    </row>
    <row r="282" spans="1:38" s="67" customFormat="1" ht="24" hidden="1" customHeight="1" x14ac:dyDescent="0.15">
      <c r="A282" s="146">
        <v>264</v>
      </c>
      <c r="B282" s="331"/>
      <c r="C282" s="331"/>
      <c r="D282" s="331"/>
      <c r="E282" s="122"/>
      <c r="F282" s="122"/>
      <c r="G282" s="355"/>
      <c r="H282" s="354"/>
      <c r="I282" s="354"/>
      <c r="J282" s="355"/>
      <c r="K282" s="355"/>
      <c r="L282" s="332"/>
      <c r="M282" s="205"/>
      <c r="N282" s="572"/>
      <c r="O282" s="573"/>
      <c r="P282" s="205"/>
      <c r="Q282" s="205"/>
      <c r="R282" s="205"/>
      <c r="S282" s="276"/>
      <c r="T282" s="64" t="s">
        <v>45</v>
      </c>
      <c r="U282" s="64">
        <f>COUNTIF(D279:D298,"대")</f>
        <v>0</v>
      </c>
      <c r="V282" s="65">
        <f>COUNTIF(I279:I298,"대")</f>
        <v>0</v>
      </c>
      <c r="W282" s="64" t="s">
        <v>26</v>
      </c>
      <c r="X282" s="64">
        <f>SUMIF(D279:D298,"대",F279:F298)</f>
        <v>0</v>
      </c>
      <c r="Y282" s="65">
        <f>SUMIF(I279:I298,"대",K279:K298)</f>
        <v>0</v>
      </c>
      <c r="Z282" s="10">
        <f>COUNTIF(AJ279:AJ298,"대국")+COUNTIF(AJ279:AJ298,"대공")</f>
        <v>0</v>
      </c>
      <c r="AA282" s="42">
        <f>COUNTIF(AK279:AK298,"대국")+COUNTIF(AK279:AK298,"대공")</f>
        <v>0</v>
      </c>
      <c r="AB282" s="10" t="s">
        <v>26</v>
      </c>
      <c r="AC282" s="10">
        <f>SUMIF(AJ279:AJ298,"대국",F279:F298)+SUMIF(AJ279:AJ298,"대공",F279:F298)</f>
        <v>0</v>
      </c>
      <c r="AD282" s="42">
        <f>SUMIF(AK279:AK298,"대국",K279:K298)+SUMIF(AK279:AK298,"대공",K279:K298)</f>
        <v>0</v>
      </c>
      <c r="AE282" s="64">
        <f t="shared" si="59"/>
        <v>0</v>
      </c>
      <c r="AF282" s="65">
        <f t="shared" si="59"/>
        <v>0</v>
      </c>
      <c r="AG282" s="64" t="s">
        <v>26</v>
      </c>
      <c r="AH282" s="64">
        <f t="shared" si="60"/>
        <v>0</v>
      </c>
      <c r="AI282" s="65">
        <f t="shared" si="60"/>
        <v>0</v>
      </c>
      <c r="AJ282" s="64" t="str">
        <f t="shared" si="61"/>
        <v/>
      </c>
      <c r="AK282" s="64" t="str">
        <f t="shared" si="62"/>
        <v/>
      </c>
      <c r="AL282" s="66"/>
    </row>
    <row r="283" spans="1:38" s="67" customFormat="1" ht="24" hidden="1" customHeight="1" x14ac:dyDescent="0.15">
      <c r="A283" s="146">
        <v>265</v>
      </c>
      <c r="B283" s="331"/>
      <c r="C283" s="331"/>
      <c r="D283" s="331"/>
      <c r="E283" s="122"/>
      <c r="F283" s="122"/>
      <c r="G283" s="355"/>
      <c r="H283" s="354"/>
      <c r="I283" s="354"/>
      <c r="J283" s="355"/>
      <c r="K283" s="355"/>
      <c r="L283" s="332"/>
      <c r="M283" s="205"/>
      <c r="N283" s="457"/>
      <c r="O283" s="341"/>
      <c r="P283" s="205"/>
      <c r="Q283" s="205"/>
      <c r="R283" s="205"/>
      <c r="S283" s="276"/>
      <c r="T283" s="64" t="s">
        <v>31</v>
      </c>
      <c r="U283" s="64">
        <f>COUNTIF(D279:D298,"도")</f>
        <v>0</v>
      </c>
      <c r="V283" s="65">
        <f>COUNTIF(I279:I298,"도")</f>
        <v>0</v>
      </c>
      <c r="W283" s="64" t="s">
        <v>26</v>
      </c>
      <c r="X283" s="64">
        <f>SUMIF(D279:D298,"도",F279:F298)</f>
        <v>0</v>
      </c>
      <c r="Y283" s="65">
        <f>SUMIF(I279:I298,"도",K279:K298)</f>
        <v>0</v>
      </c>
      <c r="Z283" s="10">
        <f>COUNTIF(AJ279:AJ298,"도국")+COUNTIF(AJ279:AJ298,"도공")</f>
        <v>0</v>
      </c>
      <c r="AA283" s="42">
        <f>COUNTIF(AK279:AK298,"도국")+COUNTIF(AK279:AK298,"도공")</f>
        <v>0</v>
      </c>
      <c r="AB283" s="10" t="s">
        <v>26</v>
      </c>
      <c r="AC283" s="10">
        <f>SUMIF(AJ279:AJ298,"도국",F279:F298)+SUMIF(AJ279:AJ298,"도공",F279:F298)</f>
        <v>0</v>
      </c>
      <c r="AD283" s="42">
        <f>SUMIF(AK279:AK298,"도국",K279:K298)+SUMIF(AK279:AK298,"도공",K279:K298)</f>
        <v>0</v>
      </c>
      <c r="AE283" s="64">
        <f t="shared" si="59"/>
        <v>0</v>
      </c>
      <c r="AF283" s="65">
        <f t="shared" si="59"/>
        <v>0</v>
      </c>
      <c r="AG283" s="64" t="s">
        <v>26</v>
      </c>
      <c r="AH283" s="64">
        <f t="shared" si="60"/>
        <v>0</v>
      </c>
      <c r="AI283" s="65">
        <f t="shared" si="60"/>
        <v>0</v>
      </c>
      <c r="AJ283" s="64" t="str">
        <f t="shared" si="61"/>
        <v/>
      </c>
      <c r="AK283" s="64" t="str">
        <f t="shared" si="62"/>
        <v/>
      </c>
      <c r="AL283" s="66"/>
    </row>
    <row r="284" spans="1:38" s="67" customFormat="1" ht="24" hidden="1" customHeight="1" x14ac:dyDescent="0.15">
      <c r="A284" s="146">
        <v>266</v>
      </c>
      <c r="B284" s="331"/>
      <c r="C284" s="331"/>
      <c r="D284" s="331"/>
      <c r="E284" s="122"/>
      <c r="F284" s="122"/>
      <c r="G284" s="355"/>
      <c r="H284" s="354"/>
      <c r="I284" s="354"/>
      <c r="J284" s="355"/>
      <c r="K284" s="355"/>
      <c r="L284" s="332"/>
      <c r="M284" s="205"/>
      <c r="N284" s="457"/>
      <c r="O284" s="341"/>
      <c r="P284" s="205"/>
      <c r="Q284" s="205"/>
      <c r="R284" s="205"/>
      <c r="S284" s="276"/>
      <c r="T284" s="64" t="s">
        <v>32</v>
      </c>
      <c r="U284" s="68">
        <f>COUNTIF(D279:D298,"천")</f>
        <v>0</v>
      </c>
      <c r="V284" s="69">
        <f>COUNTIF(I279:I298,"천")</f>
        <v>0</v>
      </c>
      <c r="W284" s="64" t="s">
        <v>26</v>
      </c>
      <c r="X284" s="64">
        <f>SUMIF(D279:D298,"천",F279:F298)</f>
        <v>0</v>
      </c>
      <c r="Y284" s="65">
        <f>SUMIF(I279:I298,"천",K279:K298)</f>
        <v>0</v>
      </c>
      <c r="Z284" s="10">
        <f>COUNTIF(AJ279:AJ298,"천국")+COUNTIF(AJ279:AJ298,"천공")</f>
        <v>0</v>
      </c>
      <c r="AA284" s="42">
        <f>COUNTIF(AK279:AK298,"천국")+COUNTIF(AK279:AK298,"천공")</f>
        <v>0</v>
      </c>
      <c r="AB284" s="10" t="s">
        <v>26</v>
      </c>
      <c r="AC284" s="10">
        <f>SUMIF(AJ279:AJ298,"천국",F279:F298)+SUMIF(AJ279:AJ298,"천공",F279:F298)</f>
        <v>0</v>
      </c>
      <c r="AD284" s="42">
        <f>SUMIF(AK279:AK298,"천국",K279:K298)+SUMIF(AK279:AK298,"천공",K279:K298)</f>
        <v>0</v>
      </c>
      <c r="AE284" s="64">
        <f t="shared" si="59"/>
        <v>0</v>
      </c>
      <c r="AF284" s="65">
        <f t="shared" si="59"/>
        <v>0</v>
      </c>
      <c r="AG284" s="64" t="s">
        <v>26</v>
      </c>
      <c r="AH284" s="64">
        <f t="shared" si="60"/>
        <v>0</v>
      </c>
      <c r="AI284" s="65">
        <f t="shared" si="60"/>
        <v>0</v>
      </c>
      <c r="AJ284" s="64" t="str">
        <f t="shared" si="61"/>
        <v/>
      </c>
      <c r="AK284" s="64" t="str">
        <f t="shared" si="62"/>
        <v/>
      </c>
      <c r="AL284" s="66"/>
    </row>
    <row r="285" spans="1:38" s="67" customFormat="1" ht="24" hidden="1" customHeight="1" x14ac:dyDescent="0.15">
      <c r="A285" s="146">
        <v>267</v>
      </c>
      <c r="B285" s="331"/>
      <c r="C285" s="331"/>
      <c r="D285" s="331"/>
      <c r="E285" s="122"/>
      <c r="F285" s="122"/>
      <c r="G285" s="355"/>
      <c r="H285" s="354"/>
      <c r="I285" s="354"/>
      <c r="J285" s="355"/>
      <c r="K285" s="355"/>
      <c r="L285" s="332"/>
      <c r="M285" s="205"/>
      <c r="N285" s="457"/>
      <c r="O285" s="341"/>
      <c r="P285" s="205"/>
      <c r="Q285" s="205"/>
      <c r="R285" s="205"/>
      <c r="S285" s="276"/>
      <c r="T285" s="64" t="s">
        <v>33</v>
      </c>
      <c r="U285" s="64">
        <f>COUNTIF(D279:D298,"구")</f>
        <v>0</v>
      </c>
      <c r="V285" s="65">
        <f>COUNTIF(I279:I298,"구")</f>
        <v>0</v>
      </c>
      <c r="W285" s="64" t="s">
        <v>26</v>
      </c>
      <c r="X285" s="64">
        <f>SUMIF(D279:D298,"구",F279:F298)</f>
        <v>0</v>
      </c>
      <c r="Y285" s="65">
        <f>SUMIF(I279:I298,"구",K279:K298)</f>
        <v>0</v>
      </c>
      <c r="Z285" s="10">
        <f>COUNTIF(AJ279:AJ298,"구국")+COUNTIF(AJ279:AJ298,"구공")</f>
        <v>0</v>
      </c>
      <c r="AA285" s="42">
        <f>COUNTIF(AK279:AK298,"구국")+COUNTIF(AK279:AK298,"구공")</f>
        <v>0</v>
      </c>
      <c r="AB285" s="10" t="s">
        <v>26</v>
      </c>
      <c r="AC285" s="10">
        <f>SUMIF(AJ279:AJ298,"구국",F279:F298)+SUMIF(AJ279:AJ298,"구공",F279:F298)</f>
        <v>0</v>
      </c>
      <c r="AD285" s="42">
        <f>SUMIF(AK279:AK298,"구국",K279:K298)+SUMIF(AK279:AK298,"구공",K279:K298)</f>
        <v>0</v>
      </c>
      <c r="AE285" s="64">
        <f t="shared" si="59"/>
        <v>0</v>
      </c>
      <c r="AF285" s="65">
        <f t="shared" si="59"/>
        <v>0</v>
      </c>
      <c r="AG285" s="64" t="s">
        <v>26</v>
      </c>
      <c r="AH285" s="64">
        <f t="shared" si="60"/>
        <v>0</v>
      </c>
      <c r="AI285" s="65">
        <f t="shared" si="60"/>
        <v>0</v>
      </c>
      <c r="AJ285" s="64" t="str">
        <f t="shared" si="61"/>
        <v/>
      </c>
      <c r="AK285" s="64" t="str">
        <f t="shared" si="62"/>
        <v/>
      </c>
      <c r="AL285" s="66"/>
    </row>
    <row r="286" spans="1:38" s="67" customFormat="1" ht="24" hidden="1" customHeight="1" x14ac:dyDescent="0.15">
      <c r="A286" s="146">
        <v>268</v>
      </c>
      <c r="B286" s="331"/>
      <c r="C286" s="331"/>
      <c r="D286" s="331"/>
      <c r="E286" s="122"/>
      <c r="F286" s="122"/>
      <c r="G286" s="355"/>
      <c r="H286" s="354"/>
      <c r="I286" s="354"/>
      <c r="J286" s="355"/>
      <c r="K286" s="355"/>
      <c r="L286" s="332"/>
      <c r="M286" s="205"/>
      <c r="N286" s="457"/>
      <c r="O286" s="341"/>
      <c r="P286" s="205"/>
      <c r="Q286" s="205"/>
      <c r="R286" s="205"/>
      <c r="S286" s="276"/>
      <c r="T286" s="64" t="s">
        <v>34</v>
      </c>
      <c r="U286" s="64">
        <f>COUNTIF(D279:D298,"제")</f>
        <v>0</v>
      </c>
      <c r="V286" s="65">
        <f>COUNTIF(I279:I298,"제")</f>
        <v>0</v>
      </c>
      <c r="W286" s="64" t="s">
        <v>26</v>
      </c>
      <c r="X286" s="64">
        <f>SUMIF(D279:D298,"제",F279:F298)</f>
        <v>0</v>
      </c>
      <c r="Y286" s="65">
        <f>SUMIF(I279:I298,"제",K279:K298)</f>
        <v>0</v>
      </c>
      <c r="Z286" s="10">
        <f>COUNTIF(AJ279:AJ298,"제국")+COUNTIF(AJ279:AJ298,"제공")</f>
        <v>0</v>
      </c>
      <c r="AA286" s="42">
        <f>COUNTIF(AK279:AK298,"제국")+COUNTIF(AK279:AK298,"제공")</f>
        <v>0</v>
      </c>
      <c r="AB286" s="10" t="s">
        <v>26</v>
      </c>
      <c r="AC286" s="10">
        <f>SUMIF(AJ279:AJ298,"제국",F279:F298)+SUMIF(AJ279:AJ298,"제공",F279:F298)</f>
        <v>0</v>
      </c>
      <c r="AD286" s="42">
        <f>SUMIF(AK279:AK298,"제국",K279:K298)+SUMIF(AK279:AK298,"제공",K279:K298)</f>
        <v>0</v>
      </c>
      <c r="AE286" s="64">
        <f t="shared" si="59"/>
        <v>0</v>
      </c>
      <c r="AF286" s="65">
        <f t="shared" si="59"/>
        <v>0</v>
      </c>
      <c r="AG286" s="64" t="s">
        <v>26</v>
      </c>
      <c r="AH286" s="64">
        <f t="shared" si="60"/>
        <v>0</v>
      </c>
      <c r="AI286" s="65">
        <f t="shared" si="60"/>
        <v>0</v>
      </c>
      <c r="AJ286" s="64" t="str">
        <f t="shared" si="61"/>
        <v/>
      </c>
      <c r="AK286" s="64" t="str">
        <f t="shared" si="62"/>
        <v/>
      </c>
      <c r="AL286" s="66"/>
    </row>
    <row r="287" spans="1:38" s="67" customFormat="1" ht="24" hidden="1" customHeight="1" x14ac:dyDescent="0.15">
      <c r="A287" s="146">
        <v>269</v>
      </c>
      <c r="B287" s="331"/>
      <c r="C287" s="235"/>
      <c r="D287" s="235"/>
      <c r="E287" s="122"/>
      <c r="F287" s="122"/>
      <c r="G287" s="355"/>
      <c r="H287" s="354"/>
      <c r="I287" s="354"/>
      <c r="J287" s="355"/>
      <c r="K287" s="355"/>
      <c r="L287" s="332"/>
      <c r="M287" s="205"/>
      <c r="N287" s="457"/>
      <c r="O287" s="341"/>
      <c r="P287" s="205"/>
      <c r="Q287" s="205"/>
      <c r="R287" s="205"/>
      <c r="S287" s="276"/>
      <c r="T287" s="64" t="s">
        <v>46</v>
      </c>
      <c r="U287" s="64">
        <f>COUNTIF(D279:D298,"유")</f>
        <v>0</v>
      </c>
      <c r="V287" s="65">
        <f>COUNTIF(I279:I298,"유")</f>
        <v>0</v>
      </c>
      <c r="W287" s="64" t="s">
        <v>26</v>
      </c>
      <c r="X287" s="64">
        <f>SUMIF(D279:D298,"유",F279:F298)</f>
        <v>0</v>
      </c>
      <c r="Y287" s="65">
        <f>SUMIF(I279:I298,"유",K279:K298)</f>
        <v>0</v>
      </c>
      <c r="Z287" s="10">
        <f>COUNTIF(AJ279:AJ298,"유국")+COUNTIF(AJ279:AJ298,"유공")</f>
        <v>0</v>
      </c>
      <c r="AA287" s="42">
        <f>COUNTIF(AK279:AK298,"유국")+COUNTIF(AK279:AK298,"유공")</f>
        <v>0</v>
      </c>
      <c r="AB287" s="10" t="s">
        <v>26</v>
      </c>
      <c r="AC287" s="10">
        <f>SUMIF(AJ279:AJ298,"유국",F279:F298)+SUMIF(AJ279:AJ298,"유공",F279:F298)</f>
        <v>0</v>
      </c>
      <c r="AD287" s="42">
        <f>SUMIF(AK279:AK298,"유국",K279:K298)+SUMIF(AK279:AK298,"유공",K279:K298)</f>
        <v>0</v>
      </c>
      <c r="AE287" s="64">
        <f t="shared" si="59"/>
        <v>0</v>
      </c>
      <c r="AF287" s="65">
        <f t="shared" si="59"/>
        <v>0</v>
      </c>
      <c r="AG287" s="64" t="s">
        <v>26</v>
      </c>
      <c r="AH287" s="64">
        <f t="shared" si="60"/>
        <v>0</v>
      </c>
      <c r="AI287" s="65">
        <f t="shared" si="60"/>
        <v>0</v>
      </c>
      <c r="AJ287" s="64" t="str">
        <f t="shared" si="61"/>
        <v/>
      </c>
      <c r="AK287" s="64" t="str">
        <f t="shared" si="62"/>
        <v/>
      </c>
      <c r="AL287" s="66"/>
    </row>
    <row r="288" spans="1:38" s="67" customFormat="1" ht="24" hidden="1" customHeight="1" x14ac:dyDescent="0.15">
      <c r="A288" s="146">
        <v>270</v>
      </c>
      <c r="B288" s="331"/>
      <c r="C288" s="331"/>
      <c r="D288" s="331"/>
      <c r="E288" s="122"/>
      <c r="F288" s="122"/>
      <c r="G288" s="355"/>
      <c r="H288" s="354"/>
      <c r="I288" s="354"/>
      <c r="J288" s="355"/>
      <c r="K288" s="355"/>
      <c r="L288" s="332"/>
      <c r="M288" s="205"/>
      <c r="N288" s="457"/>
      <c r="O288" s="341"/>
      <c r="P288" s="205"/>
      <c r="Q288" s="205"/>
      <c r="R288" s="205"/>
      <c r="S288" s="276"/>
      <c r="T288" s="64" t="s">
        <v>47</v>
      </c>
      <c r="U288" s="64">
        <f>COUNTIF(D279:D298,"과")</f>
        <v>0</v>
      </c>
      <c r="V288" s="65">
        <f>COUNTIF(I279:I298,"과")</f>
        <v>0</v>
      </c>
      <c r="W288" s="64" t="s">
        <v>26</v>
      </c>
      <c r="X288" s="64">
        <f>SUMIF(D279:D298,"과",F279:F298)</f>
        <v>0</v>
      </c>
      <c r="Y288" s="65">
        <f>SUMIF(I279:I298,"과",K279:K298)</f>
        <v>0</v>
      </c>
      <c r="Z288" s="10">
        <f>COUNTIF(AJ279:AJ298,"과국")+COUNTIF(AJ279:AJ298,"과공")</f>
        <v>0</v>
      </c>
      <c r="AA288" s="42">
        <f>COUNTIF(AK279:AK298,"과국")+COUNTIF(AK279:AK298,"과공")</f>
        <v>0</v>
      </c>
      <c r="AB288" s="10" t="s">
        <v>26</v>
      </c>
      <c r="AC288" s="10">
        <f>SUMIF(AJ279:AJ298,"과국",F279:F298)+SUMIF(AJ279:AJ298,"과공",F279:F298)</f>
        <v>0</v>
      </c>
      <c r="AD288" s="42">
        <f>SUMIF(AK279:AK298,"과국",K279:K298)+SUMIF(AK279:AK298,"과공",K279:K298)</f>
        <v>0</v>
      </c>
      <c r="AE288" s="64">
        <f t="shared" si="59"/>
        <v>0</v>
      </c>
      <c r="AF288" s="65">
        <f t="shared" si="59"/>
        <v>0</v>
      </c>
      <c r="AG288" s="64" t="s">
        <v>26</v>
      </c>
      <c r="AH288" s="64">
        <f t="shared" si="60"/>
        <v>0</v>
      </c>
      <c r="AI288" s="65">
        <f t="shared" si="60"/>
        <v>0</v>
      </c>
      <c r="AJ288" s="64" t="str">
        <f t="shared" si="61"/>
        <v/>
      </c>
      <c r="AK288" s="64" t="str">
        <f t="shared" si="62"/>
        <v/>
      </c>
      <c r="AL288" s="66"/>
    </row>
    <row r="289" spans="1:38" s="67" customFormat="1" ht="24" hidden="1" customHeight="1" x14ac:dyDescent="0.15">
      <c r="A289" s="146">
        <v>271</v>
      </c>
      <c r="B289" s="331"/>
      <c r="C289" s="331"/>
      <c r="D289" s="331"/>
      <c r="E289" s="122"/>
      <c r="F289" s="122"/>
      <c r="G289" s="355"/>
      <c r="H289" s="354"/>
      <c r="I289" s="354"/>
      <c r="J289" s="355"/>
      <c r="K289" s="355"/>
      <c r="L289" s="332"/>
      <c r="M289" s="205"/>
      <c r="N289" s="457"/>
      <c r="O289" s="341"/>
      <c r="P289" s="205"/>
      <c r="Q289" s="205"/>
      <c r="R289" s="205"/>
      <c r="S289" s="276"/>
      <c r="T289" s="64" t="s">
        <v>36</v>
      </c>
      <c r="U289" s="64">
        <f>COUNTIF(D279:D298,"묘")</f>
        <v>0</v>
      </c>
      <c r="V289" s="65">
        <f>COUNTIF(I279:I298,"묘")</f>
        <v>0</v>
      </c>
      <c r="W289" s="64" t="s">
        <v>26</v>
      </c>
      <c r="X289" s="64">
        <f>SUMIF(D279:D298,"묘",F279:F298)</f>
        <v>0</v>
      </c>
      <c r="Y289" s="65">
        <f>SUMIF(I279:I298,"묘",K279:K298)</f>
        <v>0</v>
      </c>
      <c r="Z289" s="10">
        <f>COUNTIF(AJ279:AJ298,"묘국")+COUNTIF(AJ279:AJ298,"묘공")</f>
        <v>0</v>
      </c>
      <c r="AA289" s="42">
        <f>COUNTIF(AK279:AK298,"묘국")+COUNTIF(AK279:AK298,"묘공")</f>
        <v>0</v>
      </c>
      <c r="AB289" s="10" t="s">
        <v>26</v>
      </c>
      <c r="AC289" s="10">
        <f>SUMIF(AJ279:AJ298,"묘국",F279:F298)+SUMIF(AJ279:AJ298,"묘공",F279:F298)</f>
        <v>0</v>
      </c>
      <c r="AD289" s="42">
        <f>SUMIF(AK279:AK298,"묘국",K279:K298)+SUMIF(AK279:AK298,"묘공",K279:K298)</f>
        <v>0</v>
      </c>
      <c r="AE289" s="64">
        <f t="shared" si="59"/>
        <v>0</v>
      </c>
      <c r="AF289" s="65">
        <f t="shared" si="59"/>
        <v>0</v>
      </c>
      <c r="AG289" s="64" t="s">
        <v>26</v>
      </c>
      <c r="AH289" s="64">
        <f t="shared" si="60"/>
        <v>0</v>
      </c>
      <c r="AI289" s="65">
        <f t="shared" si="60"/>
        <v>0</v>
      </c>
      <c r="AJ289" s="64" t="str">
        <f t="shared" si="61"/>
        <v/>
      </c>
      <c r="AK289" s="64" t="str">
        <f t="shared" si="62"/>
        <v/>
      </c>
      <c r="AL289" s="66"/>
    </row>
    <row r="290" spans="1:38" s="67" customFormat="1" ht="24" hidden="1" customHeight="1" x14ac:dyDescent="0.15">
      <c r="A290" s="146">
        <v>272</v>
      </c>
      <c r="B290" s="331"/>
      <c r="C290" s="331"/>
      <c r="D290" s="331"/>
      <c r="E290" s="122"/>
      <c r="F290" s="122"/>
      <c r="G290" s="355"/>
      <c r="H290" s="354"/>
      <c r="I290" s="354"/>
      <c r="J290" s="355"/>
      <c r="K290" s="355"/>
      <c r="L290" s="332"/>
      <c r="M290" s="205"/>
      <c r="N290" s="457"/>
      <c r="O290" s="341"/>
      <c r="P290" s="205"/>
      <c r="Q290" s="205"/>
      <c r="R290" s="205"/>
      <c r="S290" s="276"/>
      <c r="T290" s="64" t="s">
        <v>39</v>
      </c>
      <c r="U290" s="64">
        <f>COUNTIF(D279:D298,"수")</f>
        <v>0</v>
      </c>
      <c r="V290" s="65">
        <f>COUNTIF(I279:I298,"수")</f>
        <v>0</v>
      </c>
      <c r="W290" s="64" t="s">
        <v>26</v>
      </c>
      <c r="X290" s="64">
        <f>SUMIF(D279:D298,"수",F279:F298)</f>
        <v>0</v>
      </c>
      <c r="Y290" s="65">
        <f>SUMIF(I279:I298,"수",K279:K298)</f>
        <v>0</v>
      </c>
      <c r="Z290" s="10">
        <f>COUNTIF(AJ279:AJ298,"수국")+COUNTIF(AJ279:AJ298,"수공")</f>
        <v>0</v>
      </c>
      <c r="AA290" s="42">
        <f>COUNTIF(AK279:AK298,"수국")+COUNTIF(AK279:AK298,"수공")</f>
        <v>0</v>
      </c>
      <c r="AB290" s="10" t="s">
        <v>26</v>
      </c>
      <c r="AC290" s="10">
        <f>SUMIF(AJ279:AJ298,"수국",F279:F298)+SUMIF(AJ279:AJ298,"수공",F279:F298)</f>
        <v>0</v>
      </c>
      <c r="AD290" s="42">
        <f>SUMIF(AK279:AK298,"수국",K279:K298)+SUMIF(AK279:AK298,"수공",K279:K298)</f>
        <v>0</v>
      </c>
      <c r="AE290" s="64">
        <f t="shared" si="59"/>
        <v>0</v>
      </c>
      <c r="AF290" s="65">
        <f t="shared" si="59"/>
        <v>0</v>
      </c>
      <c r="AG290" s="64" t="s">
        <v>26</v>
      </c>
      <c r="AH290" s="64">
        <f t="shared" si="60"/>
        <v>0</v>
      </c>
      <c r="AI290" s="65">
        <f t="shared" si="60"/>
        <v>0</v>
      </c>
      <c r="AJ290" s="64" t="str">
        <f t="shared" si="61"/>
        <v/>
      </c>
      <c r="AK290" s="64" t="str">
        <f t="shared" si="62"/>
        <v/>
      </c>
      <c r="AL290" s="66"/>
    </row>
    <row r="291" spans="1:38" s="67" customFormat="1" ht="24" hidden="1" customHeight="1" x14ac:dyDescent="0.15">
      <c r="A291" s="146">
        <v>273</v>
      </c>
      <c r="B291" s="331"/>
      <c r="C291" s="331"/>
      <c r="D291" s="331"/>
      <c r="E291" s="122"/>
      <c r="F291" s="122"/>
      <c r="G291" s="355"/>
      <c r="H291" s="354"/>
      <c r="I291" s="354"/>
      <c r="J291" s="355"/>
      <c r="K291" s="355"/>
      <c r="L291" s="332"/>
      <c r="M291" s="205"/>
      <c r="N291" s="457"/>
      <c r="O291" s="341"/>
      <c r="P291" s="205"/>
      <c r="Q291" s="205"/>
      <c r="R291" s="205"/>
      <c r="S291" s="276"/>
      <c r="T291" s="64" t="s">
        <v>35</v>
      </c>
      <c r="U291" s="64">
        <f>COUNTIF(D279:D298,"잡")</f>
        <v>0</v>
      </c>
      <c r="V291" s="65">
        <f>COUNTIF(I279:I298,"잡")</f>
        <v>0</v>
      </c>
      <c r="W291" s="64" t="s">
        <v>26</v>
      </c>
      <c r="X291" s="64">
        <f>SUMIF(D279:D298,"잡",F279:F298)</f>
        <v>0</v>
      </c>
      <c r="Y291" s="65">
        <f>SUMIF(I279:I298,"잡",K279:K298)</f>
        <v>0</v>
      </c>
      <c r="Z291" s="10">
        <f>COUNTIF(AJ279:AJ298,"잡국")+COUNTIF(AJ279:AJ298,"잡공")</f>
        <v>0</v>
      </c>
      <c r="AA291" s="42">
        <f>COUNTIF(AK279:AK298,"잡국")+COUNTIF(AK279:AK298,"잡공")</f>
        <v>0</v>
      </c>
      <c r="AB291" s="10" t="s">
        <v>26</v>
      </c>
      <c r="AC291" s="10">
        <f>SUMIF(AJ279:AJ298,"잡국",F279:F298)+SUMIF(AJ279:AJ298,"잡공",F279:F298)</f>
        <v>0</v>
      </c>
      <c r="AD291" s="42">
        <f>SUMIF(AK279:AK298,"잡국",K279:K298)+SUMIF(AK279:AK298,"잡공",K279:K298)</f>
        <v>0</v>
      </c>
      <c r="AE291" s="64">
        <f t="shared" si="59"/>
        <v>0</v>
      </c>
      <c r="AF291" s="65">
        <f t="shared" si="59"/>
        <v>0</v>
      </c>
      <c r="AG291" s="64" t="s">
        <v>26</v>
      </c>
      <c r="AH291" s="64">
        <f t="shared" si="60"/>
        <v>0</v>
      </c>
      <c r="AI291" s="65">
        <f t="shared" si="60"/>
        <v>0</v>
      </c>
      <c r="AJ291" s="64" t="str">
        <f t="shared" si="61"/>
        <v/>
      </c>
      <c r="AK291" s="64" t="str">
        <f t="shared" si="62"/>
        <v/>
      </c>
      <c r="AL291" s="66"/>
    </row>
    <row r="292" spans="1:38" s="67" customFormat="1" ht="24" hidden="1" customHeight="1" x14ac:dyDescent="0.15">
      <c r="A292" s="146">
        <v>274</v>
      </c>
      <c r="B292" s="331"/>
      <c r="C292" s="331"/>
      <c r="D292" s="331"/>
      <c r="E292" s="122"/>
      <c r="F292" s="122"/>
      <c r="G292" s="355"/>
      <c r="H292" s="354"/>
      <c r="I292" s="354"/>
      <c r="J292" s="355"/>
      <c r="K292" s="355"/>
      <c r="L292" s="332"/>
      <c r="M292" s="205"/>
      <c r="N292" s="457"/>
      <c r="O292" s="341"/>
      <c r="P292" s="205"/>
      <c r="Q292" s="205"/>
      <c r="R292" s="205"/>
      <c r="S292" s="276"/>
      <c r="T292" s="64" t="s">
        <v>51</v>
      </c>
      <c r="U292" s="64">
        <f>COUNTIF(D279:D298,"체")</f>
        <v>0</v>
      </c>
      <c r="V292" s="65">
        <f>COUNTIF(I279:I298,"체")</f>
        <v>0</v>
      </c>
      <c r="W292" s="64" t="s">
        <v>26</v>
      </c>
      <c r="X292" s="64">
        <f>SUMIF(D279:D298,"체",F279:F298)</f>
        <v>0</v>
      </c>
      <c r="Y292" s="65">
        <f>SUMIF(I279:I298,"체",K279:K298)</f>
        <v>0</v>
      </c>
      <c r="Z292" s="10">
        <f>COUNTIF(AJ279:AJ298,"체국")+COUNTIF(AJ279:AJ298,"체공")</f>
        <v>0</v>
      </c>
      <c r="AA292" s="42">
        <f>COUNTIF(AK279:AK298,"체국")+COUNTIF(AK279:AK298,"체공")</f>
        <v>0</v>
      </c>
      <c r="AB292" s="10" t="s">
        <v>26</v>
      </c>
      <c r="AC292" s="10">
        <f>SUMIF(AJ279:AJ298,"체국",F279:F298)+SUMIF(AJ279:AJ298,"체공",F279:F298)</f>
        <v>0</v>
      </c>
      <c r="AD292" s="42">
        <f>SUMIF(AK279:AK298,"체국",K279:K298)+SUMIF(AK279:AK298,"체공",K279:K298)</f>
        <v>0</v>
      </c>
      <c r="AE292" s="64">
        <f t="shared" si="59"/>
        <v>0</v>
      </c>
      <c r="AF292" s="65">
        <f t="shared" si="59"/>
        <v>0</v>
      </c>
      <c r="AG292" s="64" t="s">
        <v>26</v>
      </c>
      <c r="AH292" s="64">
        <f t="shared" si="60"/>
        <v>0</v>
      </c>
      <c r="AI292" s="65">
        <f t="shared" si="60"/>
        <v>0</v>
      </c>
      <c r="AJ292" s="64" t="str">
        <f t="shared" si="61"/>
        <v/>
      </c>
      <c r="AK292" s="64" t="str">
        <f t="shared" si="62"/>
        <v/>
      </c>
      <c r="AL292" s="66"/>
    </row>
    <row r="293" spans="1:38" s="67" customFormat="1" ht="24" hidden="1" customHeight="1" x14ac:dyDescent="0.15">
      <c r="A293" s="146">
        <v>275</v>
      </c>
      <c r="B293" s="331"/>
      <c r="C293" s="331"/>
      <c r="D293" s="331"/>
      <c r="E293" s="122"/>
      <c r="F293" s="122"/>
      <c r="G293" s="355"/>
      <c r="H293" s="354"/>
      <c r="I293" s="354"/>
      <c r="J293" s="355"/>
      <c r="K293" s="355"/>
      <c r="L293" s="332"/>
      <c r="M293" s="205"/>
      <c r="N293" s="457"/>
      <c r="O293" s="341"/>
      <c r="P293" s="205"/>
      <c r="Q293" s="205"/>
      <c r="R293" s="205"/>
      <c r="S293" s="276"/>
      <c r="T293" s="64" t="s">
        <v>50</v>
      </c>
      <c r="U293" s="64">
        <f>COUNTIF(D279:D298,"공")</f>
        <v>0</v>
      </c>
      <c r="V293" s="65">
        <f>COUNTIF(I279:I298,"공")</f>
        <v>0</v>
      </c>
      <c r="W293" s="64" t="s">
        <v>26</v>
      </c>
      <c r="X293" s="64">
        <f>SUMIF(D279:D298,"공",F279:F298)</f>
        <v>0</v>
      </c>
      <c r="Y293" s="65">
        <f>SUMIF(I279:I298,"공",K279:K298)</f>
        <v>0</v>
      </c>
      <c r="Z293" s="10">
        <f>COUNTIF(AJ279:AJ298,"공국")+COUNTIF(AJ279:AJ298,"공공")</f>
        <v>0</v>
      </c>
      <c r="AA293" s="42">
        <f>COUNTIF(AK279:AK298,"공국")+COUNTIF(AK279:AK298,"공공")</f>
        <v>0</v>
      </c>
      <c r="AB293" s="10" t="s">
        <v>26</v>
      </c>
      <c r="AC293" s="10">
        <f>SUMIF(AJ279:AJ298,"공국",F279:F298)+SUMIF(AJ279:AJ298,"공공",F279:F298)</f>
        <v>0</v>
      </c>
      <c r="AD293" s="42">
        <f>SUMIF(AK279:AK298,"공국",K279:K298)+SUMIF(AK279:AK298,"공공",K279:K298)</f>
        <v>0</v>
      </c>
      <c r="AE293" s="64">
        <f t="shared" si="59"/>
        <v>0</v>
      </c>
      <c r="AF293" s="65">
        <f t="shared" si="59"/>
        <v>0</v>
      </c>
      <c r="AG293" s="64" t="s">
        <v>26</v>
      </c>
      <c r="AH293" s="64">
        <f t="shared" si="60"/>
        <v>0</v>
      </c>
      <c r="AI293" s="65">
        <f t="shared" si="60"/>
        <v>0</v>
      </c>
      <c r="AJ293" s="64" t="str">
        <f t="shared" si="61"/>
        <v/>
      </c>
      <c r="AK293" s="64" t="str">
        <f t="shared" si="62"/>
        <v/>
      </c>
      <c r="AL293" s="66"/>
    </row>
    <row r="294" spans="1:38" s="67" customFormat="1" ht="24" hidden="1" customHeight="1" x14ac:dyDescent="0.15">
      <c r="A294" s="146">
        <v>276</v>
      </c>
      <c r="B294" s="331"/>
      <c r="C294" s="331"/>
      <c r="D294" s="331"/>
      <c r="E294" s="122"/>
      <c r="F294" s="122"/>
      <c r="G294" s="355"/>
      <c r="H294" s="354"/>
      <c r="I294" s="354"/>
      <c r="J294" s="355"/>
      <c r="K294" s="355"/>
      <c r="L294" s="332"/>
      <c r="M294" s="205"/>
      <c r="N294" s="457"/>
      <c r="O294" s="341"/>
      <c r="P294" s="205"/>
      <c r="Q294" s="205"/>
      <c r="R294" s="205"/>
      <c r="S294" s="276"/>
      <c r="T294" s="70" t="s">
        <v>40</v>
      </c>
      <c r="U294" s="64">
        <f>COUNTIF(D279:D298,"장")</f>
        <v>0</v>
      </c>
      <c r="V294" s="65">
        <f>COUNTIF(I279:I298,"장")</f>
        <v>0</v>
      </c>
      <c r="W294" s="64" t="s">
        <v>26</v>
      </c>
      <c r="X294" s="64">
        <f>SUMIF(D279:D298,"장",F279:F298)</f>
        <v>0</v>
      </c>
      <c r="Y294" s="65">
        <f>SUMIF(I279:I298,"장",K279:K298)</f>
        <v>0</v>
      </c>
      <c r="Z294" s="10">
        <f>COUNTIF(AJ279:AJ298,"장국")+COUNTIF(AJ279:AJ298,"장공")</f>
        <v>0</v>
      </c>
      <c r="AA294" s="42">
        <f>COUNTIF(AK279:AK298,"장국")+COUNTIF(AK279:AK298,"장공")</f>
        <v>0</v>
      </c>
      <c r="AB294" s="10" t="s">
        <v>26</v>
      </c>
      <c r="AC294" s="10">
        <f>SUMIF(AJ279:AJ298,"장국",F279:F298)+SUMIF(AJ279:AJ298,"장공",F279:F298)</f>
        <v>0</v>
      </c>
      <c r="AD294" s="42">
        <f>SUMIF(AK279:AK298,"장국",K279:K298)+SUMIF(AK279:AK298,"장공",K279:K298)</f>
        <v>0</v>
      </c>
      <c r="AE294" s="64">
        <f t="shared" si="59"/>
        <v>0</v>
      </c>
      <c r="AF294" s="65">
        <f t="shared" si="59"/>
        <v>0</v>
      </c>
      <c r="AG294" s="64" t="s">
        <v>26</v>
      </c>
      <c r="AH294" s="64">
        <f t="shared" si="60"/>
        <v>0</v>
      </c>
      <c r="AI294" s="65">
        <f t="shared" si="60"/>
        <v>0</v>
      </c>
      <c r="AJ294" s="64" t="str">
        <f t="shared" si="61"/>
        <v/>
      </c>
      <c r="AK294" s="64" t="str">
        <f t="shared" si="62"/>
        <v/>
      </c>
      <c r="AL294" s="66"/>
    </row>
    <row r="295" spans="1:38" s="67" customFormat="1" ht="24" hidden="1" customHeight="1" x14ac:dyDescent="0.15">
      <c r="A295" s="146">
        <v>277</v>
      </c>
      <c r="B295" s="331"/>
      <c r="C295" s="331"/>
      <c r="D295" s="331"/>
      <c r="E295" s="122"/>
      <c r="F295" s="122"/>
      <c r="G295" s="355"/>
      <c r="H295" s="354"/>
      <c r="I295" s="354"/>
      <c r="J295" s="355"/>
      <c r="K295" s="355"/>
      <c r="L295" s="332"/>
      <c r="M295" s="205"/>
      <c r="N295" s="457"/>
      <c r="O295" s="341"/>
      <c r="P295" s="205"/>
      <c r="Q295" s="205"/>
      <c r="R295" s="205"/>
      <c r="S295" s="276"/>
      <c r="T295" s="70" t="s">
        <v>5</v>
      </c>
      <c r="U295" s="64">
        <f>COUNTIF(D279:D298,"목")</f>
        <v>0</v>
      </c>
      <c r="V295" s="65">
        <f>COUNTIF(I279:I298,"목")</f>
        <v>0</v>
      </c>
      <c r="W295" s="64" t="s">
        <v>26</v>
      </c>
      <c r="X295" s="64">
        <f>SUMIF(D279:D298,"목",F279:F298)</f>
        <v>0</v>
      </c>
      <c r="Y295" s="65">
        <f>SUMIF(I279:I298,"목",K279:K298)</f>
        <v>0</v>
      </c>
      <c r="Z295" s="10">
        <f>COUNTIF(AJ279:AJ298,"목국")+COUNTIF(AJ279:AJ298,"목공")</f>
        <v>0</v>
      </c>
      <c r="AA295" s="42">
        <f>COUNTIF(AK279:AK298,"목국")+COUNTIF(AK279:AK298,"목공")</f>
        <v>0</v>
      </c>
      <c r="AB295" s="10" t="s">
        <v>26</v>
      </c>
      <c r="AC295" s="10">
        <f>SUMIF(AJ279:AJ298,"목국",F279:F298)+SUMIF(AJ279:AJ298,"목공",F279:F298)</f>
        <v>0</v>
      </c>
      <c r="AD295" s="42">
        <f>SUMIF(AK279:AK298,"목국",K279:K298)+SUMIF(AK279:AK298,"목공",K279:K298)</f>
        <v>0</v>
      </c>
      <c r="AE295" s="64">
        <f t="shared" si="59"/>
        <v>0</v>
      </c>
      <c r="AF295" s="65">
        <f t="shared" si="59"/>
        <v>0</v>
      </c>
      <c r="AG295" s="64" t="s">
        <v>26</v>
      </c>
      <c r="AH295" s="64">
        <f t="shared" si="60"/>
        <v>0</v>
      </c>
      <c r="AI295" s="65">
        <f t="shared" si="60"/>
        <v>0</v>
      </c>
      <c r="AJ295" s="64" t="str">
        <f t="shared" si="61"/>
        <v/>
      </c>
      <c r="AK295" s="64" t="str">
        <f t="shared" si="62"/>
        <v/>
      </c>
      <c r="AL295" s="66"/>
    </row>
    <row r="296" spans="1:38" s="67" customFormat="1" ht="24" hidden="1" customHeight="1" x14ac:dyDescent="0.15">
      <c r="A296" s="146">
        <v>278</v>
      </c>
      <c r="B296" s="331"/>
      <c r="C296" s="331"/>
      <c r="D296" s="331"/>
      <c r="E296" s="122"/>
      <c r="F296" s="122"/>
      <c r="G296" s="355"/>
      <c r="H296" s="354"/>
      <c r="I296" s="354"/>
      <c r="J296" s="355"/>
      <c r="K296" s="355"/>
      <c r="L296" s="332"/>
      <c r="M296" s="205"/>
      <c r="N296" s="457"/>
      <c r="O296" s="341"/>
      <c r="P296" s="205"/>
      <c r="Q296" s="205"/>
      <c r="R296" s="205"/>
      <c r="S296" s="276"/>
      <c r="T296" s="70"/>
      <c r="U296" s="70"/>
      <c r="V296" s="71"/>
      <c r="W296" s="70"/>
      <c r="X296" s="70"/>
      <c r="Y296" s="71"/>
      <c r="Z296" s="10"/>
      <c r="AA296" s="42"/>
      <c r="AB296" s="11"/>
      <c r="AC296" s="10"/>
      <c r="AD296" s="42"/>
      <c r="AE296" s="70"/>
      <c r="AF296" s="71"/>
      <c r="AG296" s="70"/>
      <c r="AH296" s="70"/>
      <c r="AI296" s="71"/>
      <c r="AJ296" s="64" t="str">
        <f t="shared" si="61"/>
        <v/>
      </c>
      <c r="AK296" s="64" t="str">
        <f t="shared" si="62"/>
        <v/>
      </c>
      <c r="AL296" s="66"/>
    </row>
    <row r="297" spans="1:38" s="67" customFormat="1" ht="24" hidden="1" customHeight="1" x14ac:dyDescent="0.15">
      <c r="A297" s="146">
        <v>279</v>
      </c>
      <c r="B297" s="331"/>
      <c r="C297" s="331"/>
      <c r="D297" s="331"/>
      <c r="E297" s="122"/>
      <c r="F297" s="122"/>
      <c r="G297" s="355"/>
      <c r="H297" s="354"/>
      <c r="I297" s="354"/>
      <c r="J297" s="355"/>
      <c r="K297" s="355"/>
      <c r="L297" s="332"/>
      <c r="M297" s="205"/>
      <c r="N297" s="457"/>
      <c r="O297" s="341"/>
      <c r="P297" s="205"/>
      <c r="Q297" s="205"/>
      <c r="R297" s="205"/>
      <c r="S297" s="276"/>
      <c r="T297" s="70"/>
      <c r="U297" s="70"/>
      <c r="V297" s="71"/>
      <c r="W297" s="70"/>
      <c r="X297" s="70"/>
      <c r="Y297" s="71"/>
      <c r="Z297" s="10"/>
      <c r="AA297" s="42"/>
      <c r="AB297" s="11"/>
      <c r="AC297" s="10"/>
      <c r="AD297" s="42"/>
      <c r="AE297" s="70"/>
      <c r="AF297" s="71"/>
      <c r="AG297" s="70"/>
      <c r="AH297" s="70"/>
      <c r="AI297" s="71"/>
      <c r="AJ297" s="64" t="str">
        <f t="shared" si="61"/>
        <v/>
      </c>
      <c r="AK297" s="64" t="str">
        <f t="shared" si="62"/>
        <v/>
      </c>
      <c r="AL297" s="66"/>
    </row>
    <row r="298" spans="1:38" s="67" customFormat="1" ht="24" hidden="1" customHeight="1" x14ac:dyDescent="0.15">
      <c r="A298" s="146">
        <v>280</v>
      </c>
      <c r="B298" s="331"/>
      <c r="C298" s="331"/>
      <c r="D298" s="331"/>
      <c r="E298" s="122"/>
      <c r="F298" s="122"/>
      <c r="G298" s="355"/>
      <c r="H298" s="354"/>
      <c r="I298" s="354"/>
      <c r="J298" s="355"/>
      <c r="K298" s="355"/>
      <c r="L298" s="332"/>
      <c r="M298" s="205"/>
      <c r="N298" s="457"/>
      <c r="O298" s="341"/>
      <c r="P298" s="205"/>
      <c r="Q298" s="205"/>
      <c r="R298" s="205"/>
      <c r="S298" s="276"/>
      <c r="T298" s="72" t="s">
        <v>37</v>
      </c>
      <c r="U298" s="72">
        <f>COUNTIF(D279:D298,"철")</f>
        <v>0</v>
      </c>
      <c r="V298" s="73">
        <f>COUNTIF(I279:I298,"철")</f>
        <v>0</v>
      </c>
      <c r="W298" s="72" t="s">
        <v>26</v>
      </c>
      <c r="X298" s="72">
        <f>SUMIF(D279:D298,"철",F279:F298)</f>
        <v>0</v>
      </c>
      <c r="Y298" s="73">
        <f>SUMIF(I279:I298,"철",K279:K298)</f>
        <v>0</v>
      </c>
      <c r="Z298" s="10">
        <f>COUNTIF(AJ279:AJ298,"철국")+COUNTIF(AJ279:AJ298,"철공")</f>
        <v>0</v>
      </c>
      <c r="AA298" s="42">
        <f>COUNTIF(AK279:AK298,"철국")+COUNTIF(AK279:AK298,"철공")</f>
        <v>0</v>
      </c>
      <c r="AB298" s="12" t="s">
        <v>26</v>
      </c>
      <c r="AC298" s="10">
        <f>SUMIF(AJ279:AJ298,"철국",F279:F298)+SUMIF(AJ279:AJ298,"철공",F279:F298)</f>
        <v>0</v>
      </c>
      <c r="AD298" s="42">
        <f>SUMIF(AK279:AK298,"철국",K279:K298)+SUMIF(AK279:AK298,"철공",K279:K298)</f>
        <v>0</v>
      </c>
      <c r="AE298" s="72"/>
      <c r="AF298" s="73"/>
      <c r="AG298" s="72"/>
      <c r="AH298" s="72"/>
      <c r="AI298" s="73"/>
      <c r="AJ298" s="64" t="str">
        <f t="shared" si="61"/>
        <v/>
      </c>
      <c r="AK298" s="64" t="str">
        <f t="shared" si="62"/>
        <v/>
      </c>
      <c r="AL298" s="66"/>
    </row>
    <row r="299" spans="1:38" s="67" customFormat="1" ht="24" hidden="1" customHeight="1" thickBot="1" x14ac:dyDescent="0.2">
      <c r="A299" s="1109" t="s">
        <v>48</v>
      </c>
      <c r="B299" s="1110"/>
      <c r="C299" s="1110"/>
      <c r="D299" s="1110"/>
      <c r="E299" s="1111"/>
      <c r="F299" s="149">
        <f>SUM(F279:F298)</f>
        <v>0</v>
      </c>
      <c r="G299" s="542"/>
      <c r="H299" s="543"/>
      <c r="I299" s="543"/>
      <c r="J299" s="542"/>
      <c r="K299" s="544">
        <f>SUM(K279:K298)</f>
        <v>0</v>
      </c>
      <c r="L299" s="545"/>
      <c r="M299" s="546"/>
      <c r="N299" s="547"/>
      <c r="O299" s="548"/>
      <c r="P299" s="546"/>
      <c r="Q299" s="546"/>
      <c r="R299" s="546"/>
      <c r="S299" s="558"/>
      <c r="T299" s="62" t="s">
        <v>24</v>
      </c>
      <c r="U299" s="63">
        <f t="shared" ref="U299:AA299" si="63">SUM(U279:U298)</f>
        <v>0</v>
      </c>
      <c r="V299" s="63">
        <f t="shared" si="63"/>
        <v>0</v>
      </c>
      <c r="W299" s="63">
        <f t="shared" si="63"/>
        <v>0</v>
      </c>
      <c r="X299" s="63">
        <f t="shared" si="63"/>
        <v>0</v>
      </c>
      <c r="Y299" s="63">
        <f t="shared" si="63"/>
        <v>0</v>
      </c>
      <c r="Z299" s="37">
        <f t="shared" si="63"/>
        <v>0</v>
      </c>
      <c r="AA299" s="43">
        <f t="shared" si="63"/>
        <v>0</v>
      </c>
      <c r="AB299" s="37" t="s">
        <v>26</v>
      </c>
      <c r="AC299" s="37">
        <f>SUM(AC279:AC298)</f>
        <v>0</v>
      </c>
      <c r="AD299" s="43">
        <f>SUM(AD279:AD298)</f>
        <v>0</v>
      </c>
      <c r="AE299" s="63">
        <f>SUM(AE279:AE298)</f>
        <v>0</v>
      </c>
      <c r="AF299" s="63">
        <f>SUM(AF279:AF298)</f>
        <v>0</v>
      </c>
      <c r="AG299" s="63" t="s">
        <v>26</v>
      </c>
      <c r="AH299" s="63">
        <f>SUM(AH279:AH298)</f>
        <v>0</v>
      </c>
      <c r="AI299" s="63">
        <f>SUM(AI279:AI298)</f>
        <v>0</v>
      </c>
      <c r="AJ299" s="63"/>
      <c r="AK299" s="57"/>
      <c r="AL299" s="66"/>
    </row>
    <row r="300" spans="1:38" s="67" customFormat="1" ht="24" hidden="1" customHeight="1" x14ac:dyDescent="0.15">
      <c r="A300" s="139">
        <v>281</v>
      </c>
      <c r="B300" s="389"/>
      <c r="C300" s="389"/>
      <c r="D300" s="389"/>
      <c r="E300" s="336"/>
      <c r="F300" s="336"/>
      <c r="G300" s="551"/>
      <c r="H300" s="631"/>
      <c r="I300" s="631"/>
      <c r="J300" s="551"/>
      <c r="K300" s="551"/>
      <c r="L300" s="632"/>
      <c r="M300" s="335"/>
      <c r="N300" s="633"/>
      <c r="O300" s="337"/>
      <c r="P300" s="335"/>
      <c r="Q300" s="335"/>
      <c r="R300" s="335"/>
      <c r="S300" s="391"/>
      <c r="T300" s="64" t="s">
        <v>27</v>
      </c>
      <c r="U300" s="64">
        <f>COUNTIF(D300:D319,"전")</f>
        <v>0</v>
      </c>
      <c r="V300" s="65">
        <f>COUNTIF(I300:I319,"전")</f>
        <v>0</v>
      </c>
      <c r="W300" s="64" t="s">
        <v>26</v>
      </c>
      <c r="X300" s="64">
        <f>SUMIF(D300:D319,"전",F300:F319)</f>
        <v>0</v>
      </c>
      <c r="Y300" s="65">
        <f>SUMIF(I300:I319,"전",K300:K319)</f>
        <v>0</v>
      </c>
      <c r="Z300" s="10">
        <f>COUNTIF(AJ300:AJ319,"전국")+COUNTIF(AJ300:AJ319,"전공")</f>
        <v>0</v>
      </c>
      <c r="AA300" s="42">
        <f>COUNTIF(AK300:AK319,"전국")+COUNTIF(AK300:AK319,"전공")</f>
        <v>0</v>
      </c>
      <c r="AB300" s="10" t="s">
        <v>26</v>
      </c>
      <c r="AC300" s="10">
        <f>SUMIF(AJ300:AJ319,"전국",F300:F319)+SUMIF(AJ300:AJ319,"전공",F300:F319)</f>
        <v>0</v>
      </c>
      <c r="AD300" s="42">
        <f>SUMIF(AK300:AK319,"전국",K300:K319)+SUMIF(AK300:AK319,"전공",K300:K319)</f>
        <v>0</v>
      </c>
      <c r="AE300" s="64">
        <f t="shared" ref="AE300:AF316" si="64">U300-Z300</f>
        <v>0</v>
      </c>
      <c r="AF300" s="65">
        <f t="shared" si="64"/>
        <v>0</v>
      </c>
      <c r="AG300" s="64" t="s">
        <v>26</v>
      </c>
      <c r="AH300" s="64">
        <f t="shared" ref="AH300:AI316" si="65">X300-AC300</f>
        <v>0</v>
      </c>
      <c r="AI300" s="65">
        <f t="shared" si="65"/>
        <v>0</v>
      </c>
      <c r="AJ300" s="64" t="str">
        <f t="shared" ref="AJ300:AJ319" si="66">CONCATENATE(D300,L300)</f>
        <v/>
      </c>
      <c r="AK300" s="64" t="str">
        <f t="shared" ref="AK300:AK319" si="67">CONCATENATE(I300,L300)</f>
        <v/>
      </c>
    </row>
    <row r="301" spans="1:38" s="67" customFormat="1" ht="24" hidden="1" customHeight="1" x14ac:dyDescent="0.15">
      <c r="A301" s="146">
        <v>282</v>
      </c>
      <c r="B301" s="331"/>
      <c r="C301" s="331"/>
      <c r="D301" s="331"/>
      <c r="E301" s="122"/>
      <c r="F301" s="122"/>
      <c r="G301" s="355"/>
      <c r="H301" s="354"/>
      <c r="I301" s="354"/>
      <c r="J301" s="355"/>
      <c r="K301" s="355"/>
      <c r="L301" s="332"/>
      <c r="M301" s="205"/>
      <c r="N301" s="457"/>
      <c r="O301" s="341"/>
      <c r="P301" s="205"/>
      <c r="Q301" s="205"/>
      <c r="R301" s="205"/>
      <c r="S301" s="276"/>
      <c r="T301" s="64" t="s">
        <v>28</v>
      </c>
      <c r="U301" s="64">
        <f>COUNTIF(D300:D319,"답")</f>
        <v>0</v>
      </c>
      <c r="V301" s="65">
        <f>COUNTIF(I300:I319,"답")</f>
        <v>0</v>
      </c>
      <c r="W301" s="64" t="s">
        <v>26</v>
      </c>
      <c r="X301" s="64">
        <f>SUMIF(D300:D319,"답",F300:F319)</f>
        <v>0</v>
      </c>
      <c r="Y301" s="65">
        <f>SUMIF(I300:I319,"답",K300:K319)</f>
        <v>0</v>
      </c>
      <c r="Z301" s="10">
        <f>COUNTIF(AJ300:AJ319,"답국")+COUNTIF(AJ300:AJ319,"답공")</f>
        <v>0</v>
      </c>
      <c r="AA301" s="42">
        <f>COUNTIF(AK300:AK319,"답국")+COUNTIF(AK300:AK319,"답공")</f>
        <v>0</v>
      </c>
      <c r="AB301" s="10" t="s">
        <v>26</v>
      </c>
      <c r="AC301" s="10">
        <f>SUMIF(AJ300:AJ319,"답국",F300:F319)+SUMIF(AJ300:AJ319,"답공",F300:F319)</f>
        <v>0</v>
      </c>
      <c r="AD301" s="42">
        <f>SUMIF(AK300:AK319,"답국",K300:K319)+SUMIF(AK300:AK319,"답공",K300:K319)</f>
        <v>0</v>
      </c>
      <c r="AE301" s="64">
        <f t="shared" si="64"/>
        <v>0</v>
      </c>
      <c r="AF301" s="65">
        <f t="shared" si="64"/>
        <v>0</v>
      </c>
      <c r="AG301" s="64" t="s">
        <v>26</v>
      </c>
      <c r="AH301" s="64">
        <f t="shared" si="65"/>
        <v>0</v>
      </c>
      <c r="AI301" s="65">
        <f t="shared" si="65"/>
        <v>0</v>
      </c>
      <c r="AJ301" s="64" t="str">
        <f t="shared" si="66"/>
        <v/>
      </c>
      <c r="AK301" s="64" t="str">
        <f t="shared" si="67"/>
        <v/>
      </c>
    </row>
    <row r="302" spans="1:38" s="67" customFormat="1" ht="24" hidden="1" customHeight="1" x14ac:dyDescent="0.15">
      <c r="A302" s="146">
        <v>283</v>
      </c>
      <c r="B302" s="331"/>
      <c r="C302" s="331"/>
      <c r="D302" s="331"/>
      <c r="E302" s="122"/>
      <c r="F302" s="122"/>
      <c r="G302" s="355"/>
      <c r="H302" s="354"/>
      <c r="I302" s="354"/>
      <c r="J302" s="355"/>
      <c r="K302" s="355"/>
      <c r="L302" s="332"/>
      <c r="M302" s="205"/>
      <c r="N302" s="457"/>
      <c r="O302" s="341"/>
      <c r="P302" s="205"/>
      <c r="Q302" s="205"/>
      <c r="R302" s="205"/>
      <c r="S302" s="276"/>
      <c r="T302" s="64" t="s">
        <v>44</v>
      </c>
      <c r="U302" s="64">
        <f>COUNTIF(D300:D319,"임")</f>
        <v>0</v>
      </c>
      <c r="V302" s="65">
        <f>COUNTIF(I300:I319,"임")</f>
        <v>0</v>
      </c>
      <c r="W302" s="64" t="s">
        <v>26</v>
      </c>
      <c r="X302" s="64">
        <f>SUMIF(D300:D319,"임",F300:F319)</f>
        <v>0</v>
      </c>
      <c r="Y302" s="65">
        <f>SUMIF(I300:I319,"임",K300:K319)</f>
        <v>0</v>
      </c>
      <c r="Z302" s="10">
        <f>COUNTIF(AJ300:AJ319,"임국")+COUNTIF(AJ300:AJ319,"임공")</f>
        <v>0</v>
      </c>
      <c r="AA302" s="42">
        <f>COUNTIF(AK300:AK319,"임국")+COUNTIF(AK300:AK319,"임공")</f>
        <v>0</v>
      </c>
      <c r="AB302" s="10" t="s">
        <v>26</v>
      </c>
      <c r="AC302" s="10">
        <f>SUMIF(AJ300:AJ319,"임국",F300:F319)+SUMIF(AJ300:AJ319,"임공",F300:F319)</f>
        <v>0</v>
      </c>
      <c r="AD302" s="42">
        <f>SUMIF(AK300:AK319,"임국",K300:K319)+SUMIF(AK300:AK319,"임공",K300:K319)</f>
        <v>0</v>
      </c>
      <c r="AE302" s="64">
        <f t="shared" si="64"/>
        <v>0</v>
      </c>
      <c r="AF302" s="65">
        <f t="shared" si="64"/>
        <v>0</v>
      </c>
      <c r="AG302" s="64" t="s">
        <v>26</v>
      </c>
      <c r="AH302" s="64">
        <f t="shared" si="65"/>
        <v>0</v>
      </c>
      <c r="AI302" s="65">
        <f t="shared" si="65"/>
        <v>0</v>
      </c>
      <c r="AJ302" s="64" t="str">
        <f t="shared" si="66"/>
        <v/>
      </c>
      <c r="AK302" s="64" t="str">
        <f t="shared" si="67"/>
        <v/>
      </c>
    </row>
    <row r="303" spans="1:38" s="67" customFormat="1" ht="24" hidden="1" customHeight="1" x14ac:dyDescent="0.15">
      <c r="A303" s="146">
        <v>284</v>
      </c>
      <c r="B303" s="331"/>
      <c r="C303" s="331"/>
      <c r="D303" s="331"/>
      <c r="E303" s="122"/>
      <c r="F303" s="122"/>
      <c r="G303" s="355"/>
      <c r="H303" s="354"/>
      <c r="I303" s="354"/>
      <c r="J303" s="355"/>
      <c r="K303" s="355"/>
      <c r="L303" s="332"/>
      <c r="M303" s="205"/>
      <c r="N303" s="457"/>
      <c r="O303" s="341"/>
      <c r="P303" s="205"/>
      <c r="Q303" s="205"/>
      <c r="R303" s="205"/>
      <c r="S303" s="276"/>
      <c r="T303" s="64" t="s">
        <v>45</v>
      </c>
      <c r="U303" s="64">
        <f>COUNTIF(D300:D319,"대")</f>
        <v>0</v>
      </c>
      <c r="V303" s="65">
        <f>COUNTIF(I300:I319,"대")</f>
        <v>0</v>
      </c>
      <c r="W303" s="64" t="s">
        <v>26</v>
      </c>
      <c r="X303" s="64">
        <f>SUMIF(D300:D319,"대",F300:F319)</f>
        <v>0</v>
      </c>
      <c r="Y303" s="65">
        <f>SUMIF(I300:I319,"대",K300:K319)</f>
        <v>0</v>
      </c>
      <c r="Z303" s="10">
        <f>COUNTIF(AJ300:AJ319,"대국")+COUNTIF(AJ300:AJ319,"대공")</f>
        <v>0</v>
      </c>
      <c r="AA303" s="42">
        <f>COUNTIF(AK300:AK319,"대국")+COUNTIF(AK300:AK319,"대공")</f>
        <v>0</v>
      </c>
      <c r="AB303" s="10" t="s">
        <v>26</v>
      </c>
      <c r="AC303" s="10">
        <f>SUMIF(AJ300:AJ319,"대국",F300:F319)+SUMIF(AJ300:AJ319,"대공",F300:F319)</f>
        <v>0</v>
      </c>
      <c r="AD303" s="42">
        <f>SUMIF(AK300:AK319,"대국",K300:K319)+SUMIF(AK300:AK319,"대공",K300:K319)</f>
        <v>0</v>
      </c>
      <c r="AE303" s="64">
        <f t="shared" si="64"/>
        <v>0</v>
      </c>
      <c r="AF303" s="65">
        <f t="shared" si="64"/>
        <v>0</v>
      </c>
      <c r="AG303" s="64" t="s">
        <v>26</v>
      </c>
      <c r="AH303" s="64">
        <f t="shared" si="65"/>
        <v>0</v>
      </c>
      <c r="AI303" s="65">
        <f t="shared" si="65"/>
        <v>0</v>
      </c>
      <c r="AJ303" s="64" t="str">
        <f t="shared" si="66"/>
        <v/>
      </c>
      <c r="AK303" s="64" t="str">
        <f t="shared" si="67"/>
        <v/>
      </c>
    </row>
    <row r="304" spans="1:38" s="67" customFormat="1" ht="24" hidden="1" customHeight="1" x14ac:dyDescent="0.15">
      <c r="A304" s="146">
        <v>285</v>
      </c>
      <c r="B304" s="331"/>
      <c r="C304" s="331"/>
      <c r="D304" s="331"/>
      <c r="E304" s="122"/>
      <c r="F304" s="122"/>
      <c r="G304" s="355"/>
      <c r="H304" s="354"/>
      <c r="I304" s="354"/>
      <c r="J304" s="355"/>
      <c r="K304" s="355"/>
      <c r="L304" s="332"/>
      <c r="M304" s="205"/>
      <c r="N304" s="457"/>
      <c r="O304" s="341"/>
      <c r="P304" s="205"/>
      <c r="Q304" s="205"/>
      <c r="R304" s="205"/>
      <c r="S304" s="276"/>
      <c r="T304" s="64" t="s">
        <v>31</v>
      </c>
      <c r="U304" s="64">
        <f>COUNTIF(D300:D319,"도")</f>
        <v>0</v>
      </c>
      <c r="V304" s="65">
        <f>COUNTIF(I300:I319,"도")</f>
        <v>0</v>
      </c>
      <c r="W304" s="64" t="s">
        <v>26</v>
      </c>
      <c r="X304" s="64">
        <f>SUMIF(D300:D319,"도",F300:F319)</f>
        <v>0</v>
      </c>
      <c r="Y304" s="65">
        <f>SUMIF(I300:I319,"도",K300:K319)</f>
        <v>0</v>
      </c>
      <c r="Z304" s="10">
        <f>COUNTIF(AJ300:AJ319,"도국")+COUNTIF(AJ300:AJ319,"도공")</f>
        <v>0</v>
      </c>
      <c r="AA304" s="42">
        <f>COUNTIF(AK300:AK319,"도국")+COUNTIF(AK300:AK319,"도공")</f>
        <v>0</v>
      </c>
      <c r="AB304" s="10" t="s">
        <v>26</v>
      </c>
      <c r="AC304" s="10">
        <f>SUMIF(AJ300:AJ319,"도국",F300:F319)+SUMIF(AJ300:AJ319,"도공",F300:F319)</f>
        <v>0</v>
      </c>
      <c r="AD304" s="42">
        <f>SUMIF(AK300:AK319,"도국",K300:K319)+SUMIF(AK300:AK319,"도공",K300:K319)</f>
        <v>0</v>
      </c>
      <c r="AE304" s="64">
        <f t="shared" si="64"/>
        <v>0</v>
      </c>
      <c r="AF304" s="65">
        <f t="shared" si="64"/>
        <v>0</v>
      </c>
      <c r="AG304" s="64" t="s">
        <v>26</v>
      </c>
      <c r="AH304" s="64">
        <f t="shared" si="65"/>
        <v>0</v>
      </c>
      <c r="AI304" s="65">
        <f t="shared" si="65"/>
        <v>0</v>
      </c>
      <c r="AJ304" s="64" t="str">
        <f t="shared" si="66"/>
        <v/>
      </c>
      <c r="AK304" s="64" t="str">
        <f t="shared" si="67"/>
        <v/>
      </c>
    </row>
    <row r="305" spans="1:38" s="67" customFormat="1" ht="24" hidden="1" customHeight="1" x14ac:dyDescent="0.15">
      <c r="A305" s="146">
        <v>286</v>
      </c>
      <c r="B305" s="331"/>
      <c r="C305" s="331"/>
      <c r="D305" s="331"/>
      <c r="E305" s="122"/>
      <c r="F305" s="122"/>
      <c r="G305" s="355"/>
      <c r="H305" s="354"/>
      <c r="I305" s="354"/>
      <c r="J305" s="355"/>
      <c r="K305" s="355"/>
      <c r="L305" s="332"/>
      <c r="M305" s="478"/>
      <c r="N305" s="457"/>
      <c r="O305" s="568"/>
      <c r="P305" s="205"/>
      <c r="Q305" s="205"/>
      <c r="R305" s="205"/>
      <c r="S305" s="276"/>
      <c r="T305" s="64" t="s">
        <v>32</v>
      </c>
      <c r="U305" s="68">
        <f>COUNTIF(D300:D319,"천")</f>
        <v>0</v>
      </c>
      <c r="V305" s="69">
        <f>COUNTIF(I300:I319,"천")</f>
        <v>0</v>
      </c>
      <c r="W305" s="64" t="s">
        <v>26</v>
      </c>
      <c r="X305" s="64">
        <f>SUMIF(D300:D319,"천",F300:F319)</f>
        <v>0</v>
      </c>
      <c r="Y305" s="65">
        <f>SUMIF(I300:I319,"천",K300:K319)</f>
        <v>0</v>
      </c>
      <c r="Z305" s="10">
        <f>COUNTIF(AJ300:AJ319,"천국")+COUNTIF(AJ300:AJ319,"천공")</f>
        <v>0</v>
      </c>
      <c r="AA305" s="42">
        <f>COUNTIF(AK300:AK319,"천국")+COUNTIF(AK300:AK319,"천공")</f>
        <v>0</v>
      </c>
      <c r="AB305" s="10" t="s">
        <v>26</v>
      </c>
      <c r="AC305" s="10">
        <f>SUMIF(AJ300:AJ319,"천국",F300:F319)+SUMIF(AJ300:AJ319,"천공",F300:F319)</f>
        <v>0</v>
      </c>
      <c r="AD305" s="42">
        <f>SUMIF(AK300:AK319,"천국",K300:K319)+SUMIF(AK300:AK319,"천공",K300:K319)</f>
        <v>0</v>
      </c>
      <c r="AE305" s="64">
        <f t="shared" si="64"/>
        <v>0</v>
      </c>
      <c r="AF305" s="65">
        <f t="shared" si="64"/>
        <v>0</v>
      </c>
      <c r="AG305" s="64" t="s">
        <v>26</v>
      </c>
      <c r="AH305" s="64">
        <f t="shared" si="65"/>
        <v>0</v>
      </c>
      <c r="AI305" s="65">
        <f t="shared" si="65"/>
        <v>0</v>
      </c>
      <c r="AJ305" s="64" t="str">
        <f t="shared" si="66"/>
        <v/>
      </c>
      <c r="AK305" s="64" t="str">
        <f t="shared" si="67"/>
        <v/>
      </c>
    </row>
    <row r="306" spans="1:38" s="67" customFormat="1" ht="24" hidden="1" customHeight="1" x14ac:dyDescent="0.15">
      <c r="A306" s="146">
        <v>287</v>
      </c>
      <c r="B306" s="331"/>
      <c r="C306" s="331"/>
      <c r="D306" s="331"/>
      <c r="E306" s="122"/>
      <c r="F306" s="122"/>
      <c r="G306" s="355"/>
      <c r="H306" s="354"/>
      <c r="I306" s="354"/>
      <c r="J306" s="355"/>
      <c r="K306" s="355"/>
      <c r="L306" s="332"/>
      <c r="M306" s="205"/>
      <c r="N306" s="457"/>
      <c r="O306" s="568"/>
      <c r="P306" s="205"/>
      <c r="Q306" s="205"/>
      <c r="R306" s="205"/>
      <c r="S306" s="276"/>
      <c r="T306" s="64" t="s">
        <v>33</v>
      </c>
      <c r="U306" s="64">
        <f>COUNTIF(D300:D319,"구")</f>
        <v>0</v>
      </c>
      <c r="V306" s="65">
        <f>COUNTIF(I300:I319,"구")</f>
        <v>0</v>
      </c>
      <c r="W306" s="64" t="s">
        <v>26</v>
      </c>
      <c r="X306" s="64">
        <f>SUMIF(D300:D319,"구",F300:F319)</f>
        <v>0</v>
      </c>
      <c r="Y306" s="65">
        <f>SUMIF(I300:I319,"구",K300:K319)</f>
        <v>0</v>
      </c>
      <c r="Z306" s="10">
        <f>COUNTIF(AJ300:AJ319,"구국")+COUNTIF(AJ300:AJ319,"구공")</f>
        <v>0</v>
      </c>
      <c r="AA306" s="42">
        <f>COUNTIF(AK300:AK319,"구국")+COUNTIF(AK300:AK319,"구공")</f>
        <v>0</v>
      </c>
      <c r="AB306" s="10" t="s">
        <v>26</v>
      </c>
      <c r="AC306" s="10">
        <f>SUMIF(AJ300:AJ319,"구국",F300:F319)+SUMIF(AJ300:AJ319,"구공",F300:F319)</f>
        <v>0</v>
      </c>
      <c r="AD306" s="42">
        <f>SUMIF(AK300:AK319,"구국",K300:K319)+SUMIF(AK300:AK319,"구공",K300:K319)</f>
        <v>0</v>
      </c>
      <c r="AE306" s="64">
        <f t="shared" si="64"/>
        <v>0</v>
      </c>
      <c r="AF306" s="65">
        <f t="shared" si="64"/>
        <v>0</v>
      </c>
      <c r="AG306" s="64" t="s">
        <v>26</v>
      </c>
      <c r="AH306" s="64">
        <f t="shared" si="65"/>
        <v>0</v>
      </c>
      <c r="AI306" s="65">
        <f t="shared" si="65"/>
        <v>0</v>
      </c>
      <c r="AJ306" s="64" t="str">
        <f t="shared" si="66"/>
        <v/>
      </c>
      <c r="AK306" s="64" t="str">
        <f t="shared" si="67"/>
        <v/>
      </c>
    </row>
    <row r="307" spans="1:38" s="67" customFormat="1" ht="24" hidden="1" customHeight="1" x14ac:dyDescent="0.15">
      <c r="A307" s="146">
        <v>288</v>
      </c>
      <c r="B307" s="331"/>
      <c r="C307" s="331"/>
      <c r="D307" s="331"/>
      <c r="E307" s="122"/>
      <c r="F307" s="122"/>
      <c r="G307" s="355"/>
      <c r="H307" s="354"/>
      <c r="I307" s="354"/>
      <c r="J307" s="355"/>
      <c r="K307" s="355"/>
      <c r="L307" s="332"/>
      <c r="M307" s="205"/>
      <c r="N307" s="457"/>
      <c r="O307" s="568"/>
      <c r="P307" s="205"/>
      <c r="Q307" s="205"/>
      <c r="R307" s="205"/>
      <c r="S307" s="276"/>
      <c r="T307" s="64" t="s">
        <v>34</v>
      </c>
      <c r="U307" s="64">
        <f>COUNTIF(D300:D319,"제")</f>
        <v>0</v>
      </c>
      <c r="V307" s="65">
        <f>COUNTIF(I300:I319,"제")</f>
        <v>0</v>
      </c>
      <c r="W307" s="64" t="s">
        <v>26</v>
      </c>
      <c r="X307" s="64">
        <f>SUMIF(D300:D319,"제",F300:F319)</f>
        <v>0</v>
      </c>
      <c r="Y307" s="65">
        <f>SUMIF(I300:I319,"제",K300:K319)</f>
        <v>0</v>
      </c>
      <c r="Z307" s="10">
        <f>COUNTIF(AJ300:AJ319,"제국")+COUNTIF(AJ300:AJ319,"제공")</f>
        <v>0</v>
      </c>
      <c r="AA307" s="42">
        <f>COUNTIF(AK300:AK319,"제국")+COUNTIF(AK300:AK319,"제공")</f>
        <v>0</v>
      </c>
      <c r="AB307" s="10" t="s">
        <v>26</v>
      </c>
      <c r="AC307" s="10">
        <f>SUMIF(AJ300:AJ319,"제국",F300:F319)+SUMIF(AJ300:AJ319,"제공",F300:F319)</f>
        <v>0</v>
      </c>
      <c r="AD307" s="42">
        <f>SUMIF(AK300:AK319,"제국",K300:K319)+SUMIF(AK300:AK319,"제공",K300:K319)</f>
        <v>0</v>
      </c>
      <c r="AE307" s="64">
        <f t="shared" si="64"/>
        <v>0</v>
      </c>
      <c r="AF307" s="65">
        <f t="shared" si="64"/>
        <v>0</v>
      </c>
      <c r="AG307" s="64" t="s">
        <v>26</v>
      </c>
      <c r="AH307" s="64">
        <f t="shared" si="65"/>
        <v>0</v>
      </c>
      <c r="AI307" s="65">
        <f t="shared" si="65"/>
        <v>0</v>
      </c>
      <c r="AJ307" s="64" t="str">
        <f t="shared" si="66"/>
        <v/>
      </c>
      <c r="AK307" s="64" t="str">
        <f t="shared" si="67"/>
        <v/>
      </c>
    </row>
    <row r="308" spans="1:38" s="67" customFormat="1" ht="24" hidden="1" customHeight="1" x14ac:dyDescent="0.15">
      <c r="A308" s="146">
        <v>289</v>
      </c>
      <c r="B308" s="331"/>
      <c r="C308" s="331"/>
      <c r="D308" s="331"/>
      <c r="E308" s="122"/>
      <c r="F308" s="122"/>
      <c r="G308" s="355"/>
      <c r="H308" s="354"/>
      <c r="I308" s="354"/>
      <c r="J308" s="355"/>
      <c r="K308" s="355"/>
      <c r="L308" s="332"/>
      <c r="M308" s="205"/>
      <c r="N308" s="457"/>
      <c r="O308" s="341"/>
      <c r="P308" s="205"/>
      <c r="Q308" s="205"/>
      <c r="R308" s="205"/>
      <c r="S308" s="276"/>
      <c r="T308" s="64" t="s">
        <v>46</v>
      </c>
      <c r="U308" s="64">
        <f>COUNTIF(D300:D319,"유")</f>
        <v>0</v>
      </c>
      <c r="V308" s="65">
        <f>COUNTIF(I300:I319,"유")</f>
        <v>0</v>
      </c>
      <c r="W308" s="64" t="s">
        <v>26</v>
      </c>
      <c r="X308" s="64">
        <f>SUMIF(D300:D319,"유",F300:F319)</f>
        <v>0</v>
      </c>
      <c r="Y308" s="65">
        <f>SUMIF(I300:I319,"유",K300:K319)</f>
        <v>0</v>
      </c>
      <c r="Z308" s="10">
        <f>COUNTIF(AJ300:AJ319,"유국")+COUNTIF(AJ300:AJ319,"유공")</f>
        <v>0</v>
      </c>
      <c r="AA308" s="42">
        <f>COUNTIF(AK300:AK319,"유국")+COUNTIF(AK300:AK319,"유공")</f>
        <v>0</v>
      </c>
      <c r="AB308" s="10" t="s">
        <v>26</v>
      </c>
      <c r="AC308" s="10">
        <f>SUMIF(AJ300:AJ319,"유국",F300:F319)+SUMIF(AJ300:AJ319,"유공",F300:F319)</f>
        <v>0</v>
      </c>
      <c r="AD308" s="42">
        <f>SUMIF(AK300:AK319,"유국",K300:K319)+SUMIF(AK300:AK319,"유공",K300:K319)</f>
        <v>0</v>
      </c>
      <c r="AE308" s="64">
        <f t="shared" si="64"/>
        <v>0</v>
      </c>
      <c r="AF308" s="65">
        <f t="shared" si="64"/>
        <v>0</v>
      </c>
      <c r="AG308" s="64" t="s">
        <v>26</v>
      </c>
      <c r="AH308" s="64">
        <f t="shared" si="65"/>
        <v>0</v>
      </c>
      <c r="AI308" s="65">
        <f t="shared" si="65"/>
        <v>0</v>
      </c>
      <c r="AJ308" s="64" t="str">
        <f t="shared" si="66"/>
        <v/>
      </c>
      <c r="AK308" s="64" t="str">
        <f t="shared" si="67"/>
        <v/>
      </c>
    </row>
    <row r="309" spans="1:38" s="67" customFormat="1" ht="24" hidden="1" customHeight="1" x14ac:dyDescent="0.15">
      <c r="A309" s="146">
        <v>290</v>
      </c>
      <c r="B309" s="331"/>
      <c r="C309" s="331"/>
      <c r="D309" s="331"/>
      <c r="E309" s="122"/>
      <c r="F309" s="122"/>
      <c r="G309" s="355"/>
      <c r="H309" s="354"/>
      <c r="I309" s="354"/>
      <c r="J309" s="355"/>
      <c r="K309" s="355"/>
      <c r="L309" s="332"/>
      <c r="M309" s="205"/>
      <c r="N309" s="457"/>
      <c r="O309" s="341"/>
      <c r="P309" s="205"/>
      <c r="Q309" s="205"/>
      <c r="R309" s="205"/>
      <c r="S309" s="276"/>
      <c r="T309" s="64" t="s">
        <v>47</v>
      </c>
      <c r="U309" s="64">
        <f>COUNTIF(D300:D319,"과")</f>
        <v>0</v>
      </c>
      <c r="V309" s="65">
        <f>COUNTIF(I300:I319,"과")</f>
        <v>0</v>
      </c>
      <c r="W309" s="64" t="s">
        <v>26</v>
      </c>
      <c r="X309" s="64">
        <f>SUMIF(D300:D319,"과",F300:F319)</f>
        <v>0</v>
      </c>
      <c r="Y309" s="65">
        <f>SUMIF(I300:I319,"과",K300:K319)</f>
        <v>0</v>
      </c>
      <c r="Z309" s="10">
        <f>COUNTIF(AJ300:AJ319,"과국")+COUNTIF(AJ300:AJ319,"과공")</f>
        <v>0</v>
      </c>
      <c r="AA309" s="42">
        <f>COUNTIF(AK300:AK319,"과국")+COUNTIF(AK300:AK319,"과공")</f>
        <v>0</v>
      </c>
      <c r="AB309" s="10" t="s">
        <v>26</v>
      </c>
      <c r="AC309" s="10">
        <f>SUMIF(AJ300:AJ319,"과국",F300:F319)+SUMIF(AJ300:AJ319,"과공",F300:F319)</f>
        <v>0</v>
      </c>
      <c r="AD309" s="42">
        <f>SUMIF(AK300:AK319,"과국",K300:K319)+SUMIF(AK300:AK319,"과공",K300:K319)</f>
        <v>0</v>
      </c>
      <c r="AE309" s="64">
        <f t="shared" si="64"/>
        <v>0</v>
      </c>
      <c r="AF309" s="65">
        <f t="shared" si="64"/>
        <v>0</v>
      </c>
      <c r="AG309" s="64" t="s">
        <v>26</v>
      </c>
      <c r="AH309" s="64">
        <f t="shared" si="65"/>
        <v>0</v>
      </c>
      <c r="AI309" s="65">
        <f t="shared" si="65"/>
        <v>0</v>
      </c>
      <c r="AJ309" s="64" t="str">
        <f t="shared" si="66"/>
        <v/>
      </c>
      <c r="AK309" s="64" t="str">
        <f t="shared" si="67"/>
        <v/>
      </c>
    </row>
    <row r="310" spans="1:38" s="67" customFormat="1" ht="24" hidden="1" customHeight="1" x14ac:dyDescent="0.15">
      <c r="A310" s="146">
        <v>291</v>
      </c>
      <c r="B310" s="331"/>
      <c r="C310" s="331"/>
      <c r="D310" s="331"/>
      <c r="E310" s="122"/>
      <c r="F310" s="122"/>
      <c r="G310" s="355"/>
      <c r="H310" s="354"/>
      <c r="I310" s="354"/>
      <c r="J310" s="355"/>
      <c r="K310" s="355"/>
      <c r="L310" s="332"/>
      <c r="M310" s="205"/>
      <c r="N310" s="457"/>
      <c r="O310" s="341"/>
      <c r="P310" s="205"/>
      <c r="Q310" s="205"/>
      <c r="R310" s="205"/>
      <c r="S310" s="276"/>
      <c r="T310" s="64" t="s">
        <v>36</v>
      </c>
      <c r="U310" s="64">
        <f>COUNTIF(D300:D319,"묘")</f>
        <v>0</v>
      </c>
      <c r="V310" s="65">
        <f>COUNTIF(I300:I319,"묘")</f>
        <v>0</v>
      </c>
      <c r="W310" s="64" t="s">
        <v>26</v>
      </c>
      <c r="X310" s="64">
        <f>SUMIF(D300:D319,"묘",F300:F319)</f>
        <v>0</v>
      </c>
      <c r="Y310" s="65">
        <f>SUMIF(I300:I319,"묘",K300:K319)</f>
        <v>0</v>
      </c>
      <c r="Z310" s="10">
        <f>COUNTIF(AJ300:AJ319,"묘국")+COUNTIF(AJ300:AJ319,"묘공")</f>
        <v>0</v>
      </c>
      <c r="AA310" s="42">
        <f>COUNTIF(AK300:AK319,"묘국")+COUNTIF(AK300:AK319,"묘공")</f>
        <v>0</v>
      </c>
      <c r="AB310" s="10" t="s">
        <v>26</v>
      </c>
      <c r="AC310" s="10">
        <f>SUMIF(AJ300:AJ319,"묘국",F300:F319)+SUMIF(AJ300:AJ319,"묘공",F300:F319)</f>
        <v>0</v>
      </c>
      <c r="AD310" s="42">
        <f>SUMIF(AK300:AK319,"묘국",K300:K319)+SUMIF(AK300:AK319,"묘공",K300:K319)</f>
        <v>0</v>
      </c>
      <c r="AE310" s="64">
        <f t="shared" si="64"/>
        <v>0</v>
      </c>
      <c r="AF310" s="65">
        <f t="shared" si="64"/>
        <v>0</v>
      </c>
      <c r="AG310" s="64" t="s">
        <v>26</v>
      </c>
      <c r="AH310" s="64">
        <f t="shared" si="65"/>
        <v>0</v>
      </c>
      <c r="AI310" s="65">
        <f t="shared" si="65"/>
        <v>0</v>
      </c>
      <c r="AJ310" s="64" t="str">
        <f t="shared" si="66"/>
        <v/>
      </c>
      <c r="AK310" s="64" t="str">
        <f t="shared" si="67"/>
        <v/>
      </c>
    </row>
    <row r="311" spans="1:38" ht="24" hidden="1" customHeight="1" x14ac:dyDescent="0.15">
      <c r="A311" s="146">
        <v>292</v>
      </c>
      <c r="B311" s="331"/>
      <c r="C311" s="331"/>
      <c r="D311" s="331"/>
      <c r="E311" s="122"/>
      <c r="F311" s="122"/>
      <c r="G311" s="355"/>
      <c r="H311" s="354"/>
      <c r="I311" s="354"/>
      <c r="J311" s="355"/>
      <c r="K311" s="355"/>
      <c r="L311" s="332"/>
      <c r="M311" s="205"/>
      <c r="N311" s="457"/>
      <c r="O311" s="341"/>
      <c r="P311" s="13"/>
      <c r="Q311" s="13"/>
      <c r="R311" s="13"/>
      <c r="S311" s="14"/>
      <c r="T311" s="64" t="s">
        <v>39</v>
      </c>
      <c r="U311" s="64">
        <f>COUNTIF(D300:D319,"수")</f>
        <v>0</v>
      </c>
      <c r="V311" s="65">
        <f>COUNTIF(I300:I319,"수")</f>
        <v>0</v>
      </c>
      <c r="W311" s="64" t="s">
        <v>26</v>
      </c>
      <c r="X311" s="64">
        <f>SUMIF(D300:D319,"수",F300:F319)</f>
        <v>0</v>
      </c>
      <c r="Y311" s="65">
        <f>SUMIF(I300:I319,"수",K300:K319)</f>
        <v>0</v>
      </c>
      <c r="Z311" s="10">
        <f>COUNTIF(AJ300:AJ319,"수국")+COUNTIF(AJ300:AJ319,"수공")</f>
        <v>0</v>
      </c>
      <c r="AA311" s="42">
        <f>COUNTIF(AK300:AK319,"수국")+COUNTIF(AK300:AK319,"수공")</f>
        <v>0</v>
      </c>
      <c r="AB311" s="10" t="s">
        <v>26</v>
      </c>
      <c r="AC311" s="10">
        <f>SUMIF(AJ300:AJ319,"수국",F300:F319)+SUMIF(AJ300:AJ319,"수공",F300:F319)</f>
        <v>0</v>
      </c>
      <c r="AD311" s="42">
        <f>SUMIF(AK300:AK319,"수국",K300:K319)+SUMIF(AK300:AK319,"수공",K300:K319)</f>
        <v>0</v>
      </c>
      <c r="AE311" s="64">
        <f t="shared" si="64"/>
        <v>0</v>
      </c>
      <c r="AF311" s="65">
        <f t="shared" si="64"/>
        <v>0</v>
      </c>
      <c r="AG311" s="64" t="s">
        <v>26</v>
      </c>
      <c r="AH311" s="64">
        <f t="shared" si="65"/>
        <v>0</v>
      </c>
      <c r="AI311" s="65">
        <f t="shared" si="65"/>
        <v>0</v>
      </c>
      <c r="AJ311" s="64" t="str">
        <f t="shared" si="66"/>
        <v/>
      </c>
      <c r="AK311" s="64" t="str">
        <f t="shared" si="67"/>
        <v/>
      </c>
    </row>
    <row r="312" spans="1:38" ht="24" hidden="1" customHeight="1" x14ac:dyDescent="0.15">
      <c r="A312" s="146">
        <v>293</v>
      </c>
      <c r="B312" s="331"/>
      <c r="C312" s="331"/>
      <c r="D312" s="331"/>
      <c r="E312" s="122"/>
      <c r="F312" s="122"/>
      <c r="G312" s="355"/>
      <c r="H312" s="354"/>
      <c r="I312" s="354"/>
      <c r="J312" s="355"/>
      <c r="K312" s="355"/>
      <c r="L312" s="332"/>
      <c r="M312" s="205"/>
      <c r="N312" s="457"/>
      <c r="O312" s="341"/>
      <c r="P312" s="13"/>
      <c r="Q312" s="13"/>
      <c r="R312" s="13"/>
      <c r="S312" s="14"/>
      <c r="T312" s="64" t="s">
        <v>35</v>
      </c>
      <c r="U312" s="64">
        <f>COUNTIF(D300:D319,"잡")</f>
        <v>0</v>
      </c>
      <c r="V312" s="65">
        <f>COUNTIF(I300:I319,"잡")</f>
        <v>0</v>
      </c>
      <c r="W312" s="64" t="s">
        <v>26</v>
      </c>
      <c r="X312" s="64">
        <f>SUMIF(D300:D319,"잡",F300:F319)</f>
        <v>0</v>
      </c>
      <c r="Y312" s="65">
        <f>SUMIF(I300:I319,"잡",K300:K319)</f>
        <v>0</v>
      </c>
      <c r="Z312" s="10">
        <f>COUNTIF(AJ300:AJ319,"잡국")+COUNTIF(AJ300:AJ319,"잡공")</f>
        <v>0</v>
      </c>
      <c r="AA312" s="42">
        <f>COUNTIF(AK300:AK319,"잡국")+COUNTIF(AK300:AK319,"잡공")</f>
        <v>0</v>
      </c>
      <c r="AB312" s="10" t="s">
        <v>26</v>
      </c>
      <c r="AC312" s="10">
        <f>SUMIF(AJ300:AJ319,"잡국",F300:F319)+SUMIF(AJ300:AJ319,"잡공",F300:F319)</f>
        <v>0</v>
      </c>
      <c r="AD312" s="42">
        <f>SUMIF(AK300:AK319,"잡국",K300:K319)+SUMIF(AK300:AK319,"잡공",K300:K319)</f>
        <v>0</v>
      </c>
      <c r="AE312" s="64">
        <f t="shared" si="64"/>
        <v>0</v>
      </c>
      <c r="AF312" s="65">
        <f t="shared" si="64"/>
        <v>0</v>
      </c>
      <c r="AG312" s="64" t="s">
        <v>26</v>
      </c>
      <c r="AH312" s="64">
        <f t="shared" si="65"/>
        <v>0</v>
      </c>
      <c r="AI312" s="65">
        <f t="shared" si="65"/>
        <v>0</v>
      </c>
      <c r="AJ312" s="64" t="str">
        <f t="shared" si="66"/>
        <v/>
      </c>
      <c r="AK312" s="64" t="str">
        <f t="shared" si="67"/>
        <v/>
      </c>
    </row>
    <row r="313" spans="1:38" ht="24" hidden="1" customHeight="1" x14ac:dyDescent="0.15">
      <c r="A313" s="146">
        <v>294</v>
      </c>
      <c r="B313" s="331"/>
      <c r="C313" s="331"/>
      <c r="D313" s="331"/>
      <c r="E313" s="122"/>
      <c r="F313" s="122"/>
      <c r="G313" s="355"/>
      <c r="H313" s="354"/>
      <c r="I313" s="354"/>
      <c r="J313" s="355"/>
      <c r="K313" s="355"/>
      <c r="L313" s="332"/>
      <c r="M313" s="205"/>
      <c r="N313" s="457"/>
      <c r="O313" s="341"/>
      <c r="P313" s="13"/>
      <c r="Q313" s="13"/>
      <c r="R313" s="13"/>
      <c r="S313" s="14"/>
      <c r="T313" s="64" t="s">
        <v>51</v>
      </c>
      <c r="U313" s="64">
        <f>COUNTIF(D300:D319,"체")</f>
        <v>0</v>
      </c>
      <c r="V313" s="65">
        <f>COUNTIF(I300:I319,"체")</f>
        <v>0</v>
      </c>
      <c r="W313" s="64" t="s">
        <v>26</v>
      </c>
      <c r="X313" s="64">
        <f>SUMIF(D300:D319,"체",F300:F319)</f>
        <v>0</v>
      </c>
      <c r="Y313" s="65">
        <f>SUMIF(I300:I319,"체",K300:K319)</f>
        <v>0</v>
      </c>
      <c r="Z313" s="10">
        <f>COUNTIF(AJ300:AJ319,"체국")+COUNTIF(AJ300:AJ319,"체공")</f>
        <v>0</v>
      </c>
      <c r="AA313" s="42">
        <f>COUNTIF(AK300:AK319,"체국")+COUNTIF(AK300:AK319,"체공")</f>
        <v>0</v>
      </c>
      <c r="AB313" s="10" t="s">
        <v>26</v>
      </c>
      <c r="AC313" s="10">
        <f>SUMIF(AJ300:AJ319,"체국",F300:F319)+SUMIF(AJ300:AJ319,"체공",F300:F319)</f>
        <v>0</v>
      </c>
      <c r="AD313" s="42">
        <f>SUMIF(AK300:AK319,"체국",K300:K319)+SUMIF(AK300:AK319,"체공",K300:K319)</f>
        <v>0</v>
      </c>
      <c r="AE313" s="64">
        <f t="shared" si="64"/>
        <v>0</v>
      </c>
      <c r="AF313" s="65">
        <f t="shared" si="64"/>
        <v>0</v>
      </c>
      <c r="AG313" s="64" t="s">
        <v>26</v>
      </c>
      <c r="AH313" s="64">
        <f t="shared" si="65"/>
        <v>0</v>
      </c>
      <c r="AI313" s="65">
        <f t="shared" si="65"/>
        <v>0</v>
      </c>
      <c r="AJ313" s="64" t="str">
        <f t="shared" si="66"/>
        <v/>
      </c>
      <c r="AK313" s="64" t="str">
        <f t="shared" si="67"/>
        <v/>
      </c>
    </row>
    <row r="314" spans="1:38" ht="24" hidden="1" customHeight="1" x14ac:dyDescent="0.15">
      <c r="A314" s="146">
        <v>295</v>
      </c>
      <c r="B314" s="331"/>
      <c r="C314" s="331"/>
      <c r="D314" s="331"/>
      <c r="E314" s="122"/>
      <c r="F314" s="122"/>
      <c r="G314" s="355"/>
      <c r="H314" s="354"/>
      <c r="I314" s="354"/>
      <c r="J314" s="355"/>
      <c r="K314" s="355"/>
      <c r="L314" s="332"/>
      <c r="M314" s="205"/>
      <c r="N314" s="457"/>
      <c r="O314" s="341"/>
      <c r="P314" s="13"/>
      <c r="Q314" s="13"/>
      <c r="R314" s="13"/>
      <c r="S314" s="14"/>
      <c r="T314" s="64" t="s">
        <v>50</v>
      </c>
      <c r="U314" s="64">
        <f>COUNTIF(D300:D319,"공")</f>
        <v>0</v>
      </c>
      <c r="V314" s="65">
        <f>COUNTIF(I300:I319,"공")</f>
        <v>0</v>
      </c>
      <c r="W314" s="64" t="s">
        <v>26</v>
      </c>
      <c r="X314" s="64">
        <f>SUMIF(D300:D319,"공",F300:F319)</f>
        <v>0</v>
      </c>
      <c r="Y314" s="65">
        <f>SUMIF(I300:I319,"공",K300:K319)</f>
        <v>0</v>
      </c>
      <c r="Z314" s="10">
        <f>COUNTIF(AJ300:AJ319,"공국")+COUNTIF(AJ300:AJ319,"공공")</f>
        <v>0</v>
      </c>
      <c r="AA314" s="42">
        <f>COUNTIF(AK300:AK319,"공국")+COUNTIF(AK300:AK319,"공공")</f>
        <v>0</v>
      </c>
      <c r="AB314" s="10" t="s">
        <v>26</v>
      </c>
      <c r="AC314" s="10">
        <f>SUMIF(AJ300:AJ319,"공국",F300:F319)+SUMIF(AJ300:AJ319,"공공",F300:F319)</f>
        <v>0</v>
      </c>
      <c r="AD314" s="42">
        <f>SUMIF(AK300:AK319,"공국",K300:K319)+SUMIF(AK300:AK319,"공공",K300:K319)</f>
        <v>0</v>
      </c>
      <c r="AE314" s="64">
        <f t="shared" si="64"/>
        <v>0</v>
      </c>
      <c r="AF314" s="65">
        <f t="shared" si="64"/>
        <v>0</v>
      </c>
      <c r="AG314" s="64" t="s">
        <v>26</v>
      </c>
      <c r="AH314" s="64">
        <f t="shared" si="65"/>
        <v>0</v>
      </c>
      <c r="AI314" s="65">
        <f t="shared" si="65"/>
        <v>0</v>
      </c>
      <c r="AJ314" s="64" t="str">
        <f t="shared" si="66"/>
        <v/>
      </c>
      <c r="AK314" s="64" t="str">
        <f t="shared" si="67"/>
        <v/>
      </c>
    </row>
    <row r="315" spans="1:38" ht="24" hidden="1" customHeight="1" x14ac:dyDescent="0.15">
      <c r="A315" s="146">
        <v>296</v>
      </c>
      <c r="B315" s="331"/>
      <c r="C315" s="331"/>
      <c r="D315" s="331"/>
      <c r="E315" s="122"/>
      <c r="F315" s="122"/>
      <c r="G315" s="355"/>
      <c r="H315" s="354"/>
      <c r="I315" s="354"/>
      <c r="J315" s="355"/>
      <c r="K315" s="355"/>
      <c r="L315" s="332"/>
      <c r="M315" s="205"/>
      <c r="N315" s="457"/>
      <c r="O315" s="341"/>
      <c r="P315" s="13"/>
      <c r="Q315" s="13"/>
      <c r="R315" s="13"/>
      <c r="S315" s="14"/>
      <c r="T315" s="70" t="s">
        <v>40</v>
      </c>
      <c r="U315" s="64">
        <f>COUNTIF(D300:D319,"장")</f>
        <v>0</v>
      </c>
      <c r="V315" s="65">
        <f>COUNTIF(I300:I319,"장")</f>
        <v>0</v>
      </c>
      <c r="W315" s="64" t="s">
        <v>26</v>
      </c>
      <c r="X315" s="64">
        <f>SUMIF(D300:D319,"장",F300:F319)</f>
        <v>0</v>
      </c>
      <c r="Y315" s="65">
        <f>SUMIF(I300:I319,"장",K300:K319)</f>
        <v>0</v>
      </c>
      <c r="Z315" s="10">
        <f>COUNTIF(AJ300:AJ319,"장국")+COUNTIF(AJ300:AJ319,"장공")</f>
        <v>0</v>
      </c>
      <c r="AA315" s="42">
        <f>COUNTIF(AK300:AK319,"장국")+COUNTIF(AK300:AK319,"장공")</f>
        <v>0</v>
      </c>
      <c r="AB315" s="10" t="s">
        <v>26</v>
      </c>
      <c r="AC315" s="10">
        <f>SUMIF(AJ300:AJ319,"장국",F300:F319)+SUMIF(AJ300:AJ319,"장공",F300:F319)</f>
        <v>0</v>
      </c>
      <c r="AD315" s="42">
        <f>SUMIF(AK300:AK319,"장국",K300:K319)+SUMIF(AK300:AK319,"장공",K300:K319)</f>
        <v>0</v>
      </c>
      <c r="AE315" s="64">
        <f t="shared" si="64"/>
        <v>0</v>
      </c>
      <c r="AF315" s="65">
        <f t="shared" si="64"/>
        <v>0</v>
      </c>
      <c r="AG315" s="64" t="s">
        <v>26</v>
      </c>
      <c r="AH315" s="64">
        <f t="shared" si="65"/>
        <v>0</v>
      </c>
      <c r="AI315" s="65">
        <f t="shared" si="65"/>
        <v>0</v>
      </c>
      <c r="AJ315" s="64" t="str">
        <f t="shared" si="66"/>
        <v/>
      </c>
      <c r="AK315" s="64" t="str">
        <f t="shared" si="67"/>
        <v/>
      </c>
    </row>
    <row r="316" spans="1:38" ht="24" hidden="1" customHeight="1" x14ac:dyDescent="0.15">
      <c r="A316" s="146">
        <v>297</v>
      </c>
      <c r="B316" s="331"/>
      <c r="C316" s="331"/>
      <c r="D316" s="331"/>
      <c r="E316" s="122"/>
      <c r="F316" s="122"/>
      <c r="G316" s="355"/>
      <c r="H316" s="354"/>
      <c r="I316" s="354"/>
      <c r="J316" s="355"/>
      <c r="K316" s="355"/>
      <c r="L316" s="332"/>
      <c r="M316" s="205"/>
      <c r="N316" s="457"/>
      <c r="O316" s="341"/>
      <c r="P316" s="13"/>
      <c r="Q316" s="13"/>
      <c r="R316" s="13"/>
      <c r="S316" s="14"/>
      <c r="T316" s="70" t="s">
        <v>5</v>
      </c>
      <c r="U316" s="64">
        <f>COUNTIF(D300:D319,"목")</f>
        <v>0</v>
      </c>
      <c r="V316" s="65">
        <f>COUNTIF(I300:I319,"목")</f>
        <v>0</v>
      </c>
      <c r="W316" s="64" t="s">
        <v>26</v>
      </c>
      <c r="X316" s="64">
        <f>SUMIF(D300:D319,"목",F300:F319)</f>
        <v>0</v>
      </c>
      <c r="Y316" s="65">
        <f>SUMIF(I300:I319,"목",K300:K319)</f>
        <v>0</v>
      </c>
      <c r="Z316" s="10">
        <f>COUNTIF(AJ300:AJ319,"목국")+COUNTIF(AJ300:AJ319,"목공")</f>
        <v>0</v>
      </c>
      <c r="AA316" s="42">
        <f>COUNTIF(AK300:AK319,"목국")+COUNTIF(AK300:AK319,"목공")</f>
        <v>0</v>
      </c>
      <c r="AB316" s="10" t="s">
        <v>26</v>
      </c>
      <c r="AC316" s="10">
        <f>SUMIF(AJ300:AJ319,"목국",F300:F319)+SUMIF(AJ300:AJ319,"목공",F300:F319)</f>
        <v>0</v>
      </c>
      <c r="AD316" s="42">
        <f>SUMIF(AK300:AK319,"목국",K300:K319)+SUMIF(AK300:AK319,"목공",K300:K319)</f>
        <v>0</v>
      </c>
      <c r="AE316" s="64">
        <f t="shared" si="64"/>
        <v>0</v>
      </c>
      <c r="AF316" s="65">
        <f t="shared" si="64"/>
        <v>0</v>
      </c>
      <c r="AG316" s="64" t="s">
        <v>26</v>
      </c>
      <c r="AH316" s="64">
        <f t="shared" si="65"/>
        <v>0</v>
      </c>
      <c r="AI316" s="65">
        <f t="shared" si="65"/>
        <v>0</v>
      </c>
      <c r="AJ316" s="64" t="str">
        <f t="shared" si="66"/>
        <v/>
      </c>
      <c r="AK316" s="64" t="str">
        <f t="shared" si="67"/>
        <v/>
      </c>
    </row>
    <row r="317" spans="1:38" ht="24" hidden="1" customHeight="1" x14ac:dyDescent="0.15">
      <c r="A317" s="146">
        <v>298</v>
      </c>
      <c r="B317" s="331"/>
      <c r="C317" s="331"/>
      <c r="D317" s="331"/>
      <c r="E317" s="122"/>
      <c r="F317" s="122"/>
      <c r="G317" s="355"/>
      <c r="H317" s="354"/>
      <c r="I317" s="354"/>
      <c r="J317" s="355"/>
      <c r="K317" s="355"/>
      <c r="L317" s="332"/>
      <c r="M317" s="205"/>
      <c r="N317" s="457"/>
      <c r="O317" s="341"/>
      <c r="P317" s="13"/>
      <c r="Q317" s="13"/>
      <c r="R317" s="13"/>
      <c r="S317" s="14"/>
      <c r="T317" s="70"/>
      <c r="U317" s="70"/>
      <c r="V317" s="71"/>
      <c r="W317" s="70"/>
      <c r="X317" s="70"/>
      <c r="Y317" s="71"/>
      <c r="Z317" s="10"/>
      <c r="AA317" s="42"/>
      <c r="AB317" s="11"/>
      <c r="AC317" s="10"/>
      <c r="AD317" s="42"/>
      <c r="AE317" s="70"/>
      <c r="AF317" s="71"/>
      <c r="AG317" s="70"/>
      <c r="AH317" s="70"/>
      <c r="AI317" s="71"/>
      <c r="AJ317" s="64" t="str">
        <f t="shared" si="66"/>
        <v/>
      </c>
      <c r="AK317" s="64" t="str">
        <f t="shared" si="67"/>
        <v/>
      </c>
    </row>
    <row r="318" spans="1:38" ht="24" hidden="1" customHeight="1" x14ac:dyDescent="0.15">
      <c r="A318" s="146">
        <v>299</v>
      </c>
      <c r="B318" s="331"/>
      <c r="C318" s="331"/>
      <c r="D318" s="331"/>
      <c r="E318" s="122"/>
      <c r="F318" s="122"/>
      <c r="G318" s="355"/>
      <c r="H318" s="354"/>
      <c r="I318" s="354"/>
      <c r="J318" s="355"/>
      <c r="K318" s="355"/>
      <c r="L318" s="332"/>
      <c r="M318" s="205"/>
      <c r="N318" s="457"/>
      <c r="O318" s="341"/>
      <c r="P318" s="13"/>
      <c r="Q318" s="13"/>
      <c r="R318" s="13"/>
      <c r="S318" s="14"/>
      <c r="T318" s="70"/>
      <c r="U318" s="70"/>
      <c r="V318" s="71"/>
      <c r="W318" s="70"/>
      <c r="X318" s="70"/>
      <c r="Y318" s="71"/>
      <c r="Z318" s="10"/>
      <c r="AA318" s="42"/>
      <c r="AB318" s="11"/>
      <c r="AC318" s="10"/>
      <c r="AD318" s="42"/>
      <c r="AE318" s="70"/>
      <c r="AF318" s="71"/>
      <c r="AG318" s="70"/>
      <c r="AH318" s="70"/>
      <c r="AI318" s="71"/>
      <c r="AJ318" s="64" t="str">
        <f t="shared" si="66"/>
        <v/>
      </c>
      <c r="AK318" s="64" t="str">
        <f t="shared" si="67"/>
        <v/>
      </c>
    </row>
    <row r="319" spans="1:38" ht="24" hidden="1" customHeight="1" x14ac:dyDescent="0.15">
      <c r="A319" s="146">
        <v>300</v>
      </c>
      <c r="B319" s="331"/>
      <c r="C319" s="331"/>
      <c r="D319" s="331"/>
      <c r="E319" s="122"/>
      <c r="F319" s="122"/>
      <c r="G319" s="355"/>
      <c r="H319" s="354"/>
      <c r="I319" s="354"/>
      <c r="J319" s="355"/>
      <c r="K319" s="355"/>
      <c r="L319" s="332"/>
      <c r="M319" s="205"/>
      <c r="N319" s="457"/>
      <c r="O319" s="341"/>
      <c r="P319" s="13"/>
      <c r="Q319" s="13"/>
      <c r="R319" s="13"/>
      <c r="S319" s="624"/>
      <c r="T319" s="72" t="s">
        <v>37</v>
      </c>
      <c r="U319" s="72">
        <f>COUNTIF(D300:D319,"철")</f>
        <v>0</v>
      </c>
      <c r="V319" s="73">
        <f>COUNTIF(I300:I319,"철")</f>
        <v>0</v>
      </c>
      <c r="W319" s="72" t="s">
        <v>26</v>
      </c>
      <c r="X319" s="72">
        <f>SUMIF(D300:D319,"철",F300:F319)</f>
        <v>0</v>
      </c>
      <c r="Y319" s="73">
        <f>SUMIF(I300:I319,"철",K300:K319)</f>
        <v>0</v>
      </c>
      <c r="Z319" s="10">
        <f>COUNTIF(AJ300:AJ319,"철국")+COUNTIF(AJ300:AJ319,"철공")</f>
        <v>0</v>
      </c>
      <c r="AA319" s="42">
        <f>COUNTIF(AK300:AK319,"철국")+COUNTIF(AK300:AK319,"철공")</f>
        <v>0</v>
      </c>
      <c r="AB319" s="12" t="s">
        <v>26</v>
      </c>
      <c r="AC319" s="10">
        <f>SUMIF(AJ300:AJ319,"철국",F300:F319)+SUMIF(AJ300:AJ319,"철공",F300:F319)</f>
        <v>0</v>
      </c>
      <c r="AD319" s="42">
        <f>SUMIF(AK300:AK319,"철국",K300:K319)+SUMIF(AK300:AK319,"철공",K300:K319)</f>
        <v>0</v>
      </c>
      <c r="AE319" s="72"/>
      <c r="AF319" s="73"/>
      <c r="AG319" s="72"/>
      <c r="AH319" s="72"/>
      <c r="AI319" s="73"/>
      <c r="AJ319" s="64" t="str">
        <f t="shared" si="66"/>
        <v/>
      </c>
      <c r="AK319" s="64" t="str">
        <f t="shared" si="67"/>
        <v/>
      </c>
    </row>
    <row r="320" spans="1:38" s="67" customFormat="1" ht="24.95" hidden="1" customHeight="1" thickBot="1" x14ac:dyDescent="0.2">
      <c r="A320" s="1109" t="s">
        <v>48</v>
      </c>
      <c r="B320" s="1110"/>
      <c r="C320" s="1110"/>
      <c r="D320" s="1110"/>
      <c r="E320" s="1111"/>
      <c r="F320" s="149">
        <f>SUM(F300:F319)</f>
        <v>0</v>
      </c>
      <c r="G320" s="542"/>
      <c r="H320" s="543"/>
      <c r="I320" s="543"/>
      <c r="J320" s="542"/>
      <c r="K320" s="544">
        <f>SUM(K300:K319)</f>
        <v>0</v>
      </c>
      <c r="L320" s="545"/>
      <c r="M320" s="546"/>
      <c r="N320" s="547"/>
      <c r="O320" s="548"/>
      <c r="P320" s="546"/>
      <c r="Q320" s="546"/>
      <c r="R320" s="546"/>
      <c r="S320" s="558"/>
      <c r="T320" s="62" t="s">
        <v>24</v>
      </c>
      <c r="U320" s="63">
        <f t="shared" ref="U320:AA320" si="68">SUM(U300:U319)</f>
        <v>0</v>
      </c>
      <c r="V320" s="63">
        <f t="shared" si="68"/>
        <v>0</v>
      </c>
      <c r="W320" s="63">
        <f t="shared" si="68"/>
        <v>0</v>
      </c>
      <c r="X320" s="63">
        <f t="shared" si="68"/>
        <v>0</v>
      </c>
      <c r="Y320" s="63">
        <f t="shared" si="68"/>
        <v>0</v>
      </c>
      <c r="Z320" s="37">
        <f t="shared" si="68"/>
        <v>0</v>
      </c>
      <c r="AA320" s="43">
        <f t="shared" si="68"/>
        <v>0</v>
      </c>
      <c r="AB320" s="37" t="s">
        <v>26</v>
      </c>
      <c r="AC320" s="37">
        <f>SUM(AC300:AC319)</f>
        <v>0</v>
      </c>
      <c r="AD320" s="43">
        <f>SUM(AD300:AD319)</f>
        <v>0</v>
      </c>
      <c r="AE320" s="63">
        <f>SUM(AE300:AE319)</f>
        <v>0</v>
      </c>
      <c r="AF320" s="63">
        <f>SUM(AF300:AF319)</f>
        <v>0</v>
      </c>
      <c r="AG320" s="63" t="s">
        <v>26</v>
      </c>
      <c r="AH320" s="63">
        <f>SUM(AH300:AH319)</f>
        <v>0</v>
      </c>
      <c r="AI320" s="63">
        <f>SUM(AI300:AI319)</f>
        <v>0</v>
      </c>
      <c r="AJ320" s="63"/>
      <c r="AK320" s="57"/>
      <c r="AL320" s="66"/>
    </row>
    <row r="321" spans="1:60" ht="24" hidden="1" customHeight="1" x14ac:dyDescent="0.15">
      <c r="A321" s="139">
        <v>301</v>
      </c>
      <c r="B321" s="389"/>
      <c r="C321" s="389"/>
      <c r="D321" s="389"/>
      <c r="E321" s="336"/>
      <c r="F321" s="336"/>
      <c r="G321" s="551"/>
      <c r="H321" s="631"/>
      <c r="I321" s="631"/>
      <c r="J321" s="551"/>
      <c r="K321" s="551"/>
      <c r="L321" s="632"/>
      <c r="M321" s="335"/>
      <c r="N321" s="633"/>
      <c r="O321" s="337"/>
      <c r="P321" s="335"/>
      <c r="Q321" s="335"/>
      <c r="R321" s="335"/>
      <c r="S321" s="391"/>
      <c r="T321" s="64" t="s">
        <v>27</v>
      </c>
      <c r="U321" s="64">
        <f>COUNTIF(D321:D340,"전")</f>
        <v>0</v>
      </c>
      <c r="V321" s="65">
        <f>COUNTIF(I321:I340,"전")</f>
        <v>0</v>
      </c>
      <c r="W321" s="64" t="s">
        <v>26</v>
      </c>
      <c r="X321" s="64">
        <f>SUMIF(D321:D340,"전",F321:F340)</f>
        <v>0</v>
      </c>
      <c r="Y321" s="65">
        <f>SUMIF(I321:I340,"전",K321:K340)</f>
        <v>0</v>
      </c>
      <c r="Z321" s="10">
        <f>COUNTIF(AJ321:AJ340,"전국")+COUNTIF(AJ321:AJ340,"전공")</f>
        <v>0</v>
      </c>
      <c r="AA321" s="42">
        <f>COUNTIF(AK321:AK340,"전국")+COUNTIF(AK321:AK340,"전공")</f>
        <v>0</v>
      </c>
      <c r="AB321" s="10" t="s">
        <v>26</v>
      </c>
      <c r="AC321" s="10">
        <f>SUMIF(AJ321:AJ340,"전국",F321:F340)+SUMIF(AJ321:AJ340,"전공",F321:F340)</f>
        <v>0</v>
      </c>
      <c r="AD321" s="42">
        <f>SUMIF(AK321:AK340,"전국",K321:K340)+SUMIF(AK321:AK340,"전공",K321:K340)</f>
        <v>0</v>
      </c>
      <c r="AE321" s="64">
        <f t="shared" ref="AE321:AF337" si="69">U321-Z321</f>
        <v>0</v>
      </c>
      <c r="AF321" s="65">
        <f t="shared" si="69"/>
        <v>0</v>
      </c>
      <c r="AG321" s="64" t="s">
        <v>26</v>
      </c>
      <c r="AH321" s="64">
        <f t="shared" ref="AH321:AI337" si="70">X321-AC321</f>
        <v>0</v>
      </c>
      <c r="AI321" s="65">
        <f t="shared" si="70"/>
        <v>0</v>
      </c>
      <c r="AJ321" s="64" t="str">
        <f t="shared" ref="AJ321:AJ340" si="71">CONCATENATE(D321,L321)</f>
        <v/>
      </c>
      <c r="AK321" s="64" t="str">
        <f t="shared" ref="AK321:AK340" si="72">CONCATENATE(I321,L321)</f>
        <v/>
      </c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</row>
    <row r="322" spans="1:60" ht="24" hidden="1" customHeight="1" x14ac:dyDescent="0.15">
      <c r="A322" s="146">
        <v>302</v>
      </c>
      <c r="B322" s="331"/>
      <c r="C322" s="331"/>
      <c r="D322" s="331"/>
      <c r="E322" s="122"/>
      <c r="F322" s="122"/>
      <c r="G322" s="355"/>
      <c r="H322" s="354"/>
      <c r="I322" s="354"/>
      <c r="J322" s="355"/>
      <c r="K322" s="355"/>
      <c r="L322" s="332"/>
      <c r="M322" s="205"/>
      <c r="N322" s="457"/>
      <c r="O322" s="341"/>
      <c r="P322" s="205"/>
      <c r="Q322" s="205"/>
      <c r="R322" s="205"/>
      <c r="S322" s="276"/>
      <c r="T322" s="64" t="s">
        <v>28</v>
      </c>
      <c r="U322" s="64">
        <f>COUNTIF(D321:D340,"답")</f>
        <v>0</v>
      </c>
      <c r="V322" s="65">
        <f>COUNTIF(I321:I340,"답")</f>
        <v>0</v>
      </c>
      <c r="W322" s="64" t="s">
        <v>26</v>
      </c>
      <c r="X322" s="64">
        <f>SUMIF(D321:D340,"답",F321:F340)</f>
        <v>0</v>
      </c>
      <c r="Y322" s="65">
        <f>SUMIF(I321:I340,"답",K321:K340)</f>
        <v>0</v>
      </c>
      <c r="Z322" s="10">
        <f>COUNTIF(AJ321:AJ340,"답국")+COUNTIF(AJ321:AJ340,"답공")</f>
        <v>0</v>
      </c>
      <c r="AA322" s="42">
        <f>COUNTIF(AK321:AK340,"답국")+COUNTIF(AK321:AK340,"답공")</f>
        <v>0</v>
      </c>
      <c r="AB322" s="10" t="s">
        <v>26</v>
      </c>
      <c r="AC322" s="10">
        <f>SUMIF(AJ321:AJ340,"답국",F321:F340)+SUMIF(AJ321:AJ340,"답공",F321:F340)</f>
        <v>0</v>
      </c>
      <c r="AD322" s="42">
        <f>SUMIF(AK321:AK340,"답국",K321:K340)+SUMIF(AK321:AK340,"답공",K321:K340)</f>
        <v>0</v>
      </c>
      <c r="AE322" s="64">
        <f t="shared" si="69"/>
        <v>0</v>
      </c>
      <c r="AF322" s="65">
        <f t="shared" si="69"/>
        <v>0</v>
      </c>
      <c r="AG322" s="64" t="s">
        <v>26</v>
      </c>
      <c r="AH322" s="64">
        <f t="shared" si="70"/>
        <v>0</v>
      </c>
      <c r="AI322" s="65">
        <f t="shared" si="70"/>
        <v>0</v>
      </c>
      <c r="AJ322" s="64" t="str">
        <f t="shared" si="71"/>
        <v/>
      </c>
      <c r="AK322" s="64" t="str">
        <f t="shared" si="72"/>
        <v/>
      </c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</row>
    <row r="323" spans="1:60" ht="24" hidden="1" customHeight="1" x14ac:dyDescent="0.15">
      <c r="A323" s="146">
        <v>303</v>
      </c>
      <c r="B323" s="331"/>
      <c r="C323" s="331"/>
      <c r="D323" s="331"/>
      <c r="E323" s="122"/>
      <c r="F323" s="122"/>
      <c r="G323" s="355"/>
      <c r="H323" s="354"/>
      <c r="I323" s="354"/>
      <c r="J323" s="355"/>
      <c r="K323" s="355"/>
      <c r="L323" s="332"/>
      <c r="M323" s="205"/>
      <c r="N323" s="457"/>
      <c r="O323" s="341"/>
      <c r="P323" s="205"/>
      <c r="Q323" s="205"/>
      <c r="R323" s="205"/>
      <c r="S323" s="276"/>
      <c r="T323" s="64" t="s">
        <v>44</v>
      </c>
      <c r="U323" s="64">
        <f>COUNTIF(D321:D340,"임")</f>
        <v>0</v>
      </c>
      <c r="V323" s="65">
        <f>COUNTIF(I321:I340,"임")</f>
        <v>0</v>
      </c>
      <c r="W323" s="64" t="s">
        <v>26</v>
      </c>
      <c r="X323" s="64">
        <f>SUMIF(D321:D340,"임",F321:F340)</f>
        <v>0</v>
      </c>
      <c r="Y323" s="65">
        <f>SUMIF(I321:I340,"임",K321:K340)</f>
        <v>0</v>
      </c>
      <c r="Z323" s="10">
        <f>COUNTIF(AJ321:AJ340,"임국")+COUNTIF(AJ321:AJ340,"임공")</f>
        <v>0</v>
      </c>
      <c r="AA323" s="42">
        <f>COUNTIF(AK321:AK340,"임국")+COUNTIF(AK321:AK340,"임공")</f>
        <v>0</v>
      </c>
      <c r="AB323" s="10" t="s">
        <v>26</v>
      </c>
      <c r="AC323" s="10">
        <f>SUMIF(AJ321:AJ340,"임국",F321:F340)+SUMIF(AJ321:AJ340,"임공",F321:F340)</f>
        <v>0</v>
      </c>
      <c r="AD323" s="42">
        <f>SUMIF(AK321:AK340,"임국",K321:K340)+SUMIF(AK321:AK340,"임공",K321:K340)</f>
        <v>0</v>
      </c>
      <c r="AE323" s="64">
        <f t="shared" si="69"/>
        <v>0</v>
      </c>
      <c r="AF323" s="65">
        <f t="shared" si="69"/>
        <v>0</v>
      </c>
      <c r="AG323" s="64" t="s">
        <v>26</v>
      </c>
      <c r="AH323" s="64">
        <f t="shared" si="70"/>
        <v>0</v>
      </c>
      <c r="AI323" s="65">
        <f t="shared" si="70"/>
        <v>0</v>
      </c>
      <c r="AJ323" s="64" t="str">
        <f t="shared" si="71"/>
        <v/>
      </c>
      <c r="AK323" s="64" t="str">
        <f t="shared" si="72"/>
        <v/>
      </c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</row>
    <row r="324" spans="1:60" ht="24" hidden="1" customHeight="1" x14ac:dyDescent="0.15">
      <c r="A324" s="146">
        <v>304</v>
      </c>
      <c r="B324" s="331"/>
      <c r="C324" s="331"/>
      <c r="D324" s="331"/>
      <c r="E324" s="122"/>
      <c r="F324" s="122"/>
      <c r="G324" s="355"/>
      <c r="H324" s="354"/>
      <c r="I324" s="354"/>
      <c r="J324" s="355"/>
      <c r="K324" s="355"/>
      <c r="L324" s="332"/>
      <c r="M324" s="205"/>
      <c r="N324" s="457"/>
      <c r="O324" s="341"/>
      <c r="P324" s="205"/>
      <c r="Q324" s="205"/>
      <c r="R324" s="205"/>
      <c r="S324" s="276"/>
      <c r="T324" s="64" t="s">
        <v>45</v>
      </c>
      <c r="U324" s="64">
        <f>COUNTIF(D321:D340,"대")</f>
        <v>0</v>
      </c>
      <c r="V324" s="65">
        <f>COUNTIF(I321:I340,"대")</f>
        <v>0</v>
      </c>
      <c r="W324" s="64" t="s">
        <v>26</v>
      </c>
      <c r="X324" s="64">
        <f>SUMIF(D321:D340,"대",F321:F340)</f>
        <v>0</v>
      </c>
      <c r="Y324" s="65">
        <f>SUMIF(I321:I340,"대",K321:K340)</f>
        <v>0</v>
      </c>
      <c r="Z324" s="10">
        <f>COUNTIF(AJ321:AJ340,"대국")+COUNTIF(AJ321:AJ340,"대공")</f>
        <v>0</v>
      </c>
      <c r="AA324" s="42">
        <f>COUNTIF(AK321:AK340,"대국")+COUNTIF(AK321:AK340,"대공")</f>
        <v>0</v>
      </c>
      <c r="AB324" s="10" t="s">
        <v>26</v>
      </c>
      <c r="AC324" s="10">
        <f>SUMIF(AJ321:AJ340,"대국",F321:F340)+SUMIF(AJ321:AJ340,"대공",F321:F340)</f>
        <v>0</v>
      </c>
      <c r="AD324" s="42">
        <f>SUMIF(AK321:AK340,"대국",K321:K340)+SUMIF(AK321:AK340,"대공",K321:K340)</f>
        <v>0</v>
      </c>
      <c r="AE324" s="64">
        <f t="shared" si="69"/>
        <v>0</v>
      </c>
      <c r="AF324" s="65">
        <f t="shared" si="69"/>
        <v>0</v>
      </c>
      <c r="AG324" s="64" t="s">
        <v>26</v>
      </c>
      <c r="AH324" s="64">
        <f t="shared" si="70"/>
        <v>0</v>
      </c>
      <c r="AI324" s="65">
        <f t="shared" si="70"/>
        <v>0</v>
      </c>
      <c r="AJ324" s="64" t="str">
        <f t="shared" si="71"/>
        <v/>
      </c>
      <c r="AK324" s="64" t="str">
        <f t="shared" si="72"/>
        <v/>
      </c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</row>
    <row r="325" spans="1:60" ht="24" hidden="1" customHeight="1" x14ac:dyDescent="0.15">
      <c r="A325" s="146">
        <v>305</v>
      </c>
      <c r="B325" s="331"/>
      <c r="C325" s="331"/>
      <c r="D325" s="331"/>
      <c r="E325" s="122"/>
      <c r="F325" s="122"/>
      <c r="G325" s="355"/>
      <c r="H325" s="354"/>
      <c r="I325" s="354"/>
      <c r="J325" s="355"/>
      <c r="K325" s="355"/>
      <c r="L325" s="332"/>
      <c r="M325" s="205"/>
      <c r="N325" s="457"/>
      <c r="O325" s="341"/>
      <c r="P325" s="205"/>
      <c r="Q325" s="205"/>
      <c r="R325" s="205"/>
      <c r="S325" s="276"/>
      <c r="T325" s="64" t="s">
        <v>31</v>
      </c>
      <c r="U325" s="64">
        <f>COUNTIF(D321:D340,"도")</f>
        <v>0</v>
      </c>
      <c r="V325" s="65">
        <f>COUNTIF(I321:I340,"도")</f>
        <v>0</v>
      </c>
      <c r="W325" s="64" t="s">
        <v>26</v>
      </c>
      <c r="X325" s="64">
        <f>SUMIF(D321:D340,"도",F321:F340)</f>
        <v>0</v>
      </c>
      <c r="Y325" s="65">
        <f>SUMIF(I321:I340,"도",K321:K340)</f>
        <v>0</v>
      </c>
      <c r="Z325" s="10">
        <f>COUNTIF(AJ321:AJ340,"도국")+COUNTIF(AJ321:AJ340,"도공")</f>
        <v>0</v>
      </c>
      <c r="AA325" s="42">
        <f>COUNTIF(AK321:AK340,"도국")+COUNTIF(AK321:AK340,"도공")</f>
        <v>0</v>
      </c>
      <c r="AB325" s="10" t="s">
        <v>26</v>
      </c>
      <c r="AC325" s="10">
        <f>SUMIF(AJ321:AJ340,"도국",F321:F340)+SUMIF(AJ321:AJ340,"도공",F321:F340)</f>
        <v>0</v>
      </c>
      <c r="AD325" s="42">
        <f>SUMIF(AK321:AK340,"도국",K321:K340)+SUMIF(AK321:AK340,"도공",K321:K340)</f>
        <v>0</v>
      </c>
      <c r="AE325" s="64">
        <f t="shared" si="69"/>
        <v>0</v>
      </c>
      <c r="AF325" s="65">
        <f t="shared" si="69"/>
        <v>0</v>
      </c>
      <c r="AG325" s="64" t="s">
        <v>26</v>
      </c>
      <c r="AH325" s="64">
        <f t="shared" si="70"/>
        <v>0</v>
      </c>
      <c r="AI325" s="65">
        <f t="shared" si="70"/>
        <v>0</v>
      </c>
      <c r="AJ325" s="64" t="str">
        <f t="shared" si="71"/>
        <v/>
      </c>
      <c r="AK325" s="64" t="str">
        <f t="shared" si="72"/>
        <v/>
      </c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</row>
    <row r="326" spans="1:60" ht="24" hidden="1" customHeight="1" x14ac:dyDescent="0.15">
      <c r="A326" s="146">
        <v>306</v>
      </c>
      <c r="B326" s="331"/>
      <c r="C326" s="331"/>
      <c r="D326" s="331"/>
      <c r="E326" s="122"/>
      <c r="F326" s="122"/>
      <c r="G326" s="355"/>
      <c r="H326" s="354"/>
      <c r="I326" s="354"/>
      <c r="J326" s="355"/>
      <c r="K326" s="355"/>
      <c r="L326" s="332"/>
      <c r="M326" s="478"/>
      <c r="N326" s="457"/>
      <c r="O326" s="341"/>
      <c r="P326" s="205"/>
      <c r="Q326" s="205"/>
      <c r="R326" s="205"/>
      <c r="S326" s="276"/>
      <c r="T326" s="64" t="s">
        <v>32</v>
      </c>
      <c r="U326" s="68">
        <f>COUNTIF(D321:D340,"천")</f>
        <v>0</v>
      </c>
      <c r="V326" s="69">
        <f>COUNTIF(I321:I340,"천")</f>
        <v>0</v>
      </c>
      <c r="W326" s="64" t="s">
        <v>26</v>
      </c>
      <c r="X326" s="64">
        <f>SUMIF(D321:D340,"천",F321:F340)</f>
        <v>0</v>
      </c>
      <c r="Y326" s="65">
        <f>SUMIF(I321:I340,"천",K321:K340)</f>
        <v>0</v>
      </c>
      <c r="Z326" s="10">
        <f>COUNTIF(AJ321:AJ340,"천국")+COUNTIF(AJ321:AJ340,"천공")</f>
        <v>0</v>
      </c>
      <c r="AA326" s="42">
        <f>COUNTIF(AK321:AK340,"천국")+COUNTIF(AK321:AK340,"천공")</f>
        <v>0</v>
      </c>
      <c r="AB326" s="10" t="s">
        <v>26</v>
      </c>
      <c r="AC326" s="10">
        <f>SUMIF(AJ321:AJ340,"천국",F321:F340)+SUMIF(AJ321:AJ340,"천공",F321:F340)</f>
        <v>0</v>
      </c>
      <c r="AD326" s="42">
        <f>SUMIF(AK321:AK340,"천국",K321:K340)+SUMIF(AK321:AK340,"천공",K321:K340)</f>
        <v>0</v>
      </c>
      <c r="AE326" s="64">
        <f t="shared" si="69"/>
        <v>0</v>
      </c>
      <c r="AF326" s="65">
        <f t="shared" si="69"/>
        <v>0</v>
      </c>
      <c r="AG326" s="64" t="s">
        <v>26</v>
      </c>
      <c r="AH326" s="64">
        <f t="shared" si="70"/>
        <v>0</v>
      </c>
      <c r="AI326" s="65">
        <f t="shared" si="70"/>
        <v>0</v>
      </c>
      <c r="AJ326" s="64" t="str">
        <f t="shared" si="71"/>
        <v/>
      </c>
      <c r="AK326" s="64" t="str">
        <f t="shared" si="72"/>
        <v/>
      </c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</row>
    <row r="327" spans="1:60" ht="24" hidden="1" customHeight="1" x14ac:dyDescent="0.15">
      <c r="A327" s="146">
        <v>307</v>
      </c>
      <c r="B327" s="331"/>
      <c r="C327" s="331"/>
      <c r="D327" s="331"/>
      <c r="E327" s="122"/>
      <c r="F327" s="122"/>
      <c r="G327" s="355"/>
      <c r="H327" s="354"/>
      <c r="I327" s="354"/>
      <c r="J327" s="355"/>
      <c r="K327" s="355"/>
      <c r="L327" s="332"/>
      <c r="M327" s="205"/>
      <c r="N327" s="457"/>
      <c r="O327" s="341"/>
      <c r="P327" s="205"/>
      <c r="Q327" s="205"/>
      <c r="R327" s="205"/>
      <c r="S327" s="276"/>
      <c r="T327" s="64" t="s">
        <v>33</v>
      </c>
      <c r="U327" s="64">
        <f>COUNTIF(D321:D340,"구")</f>
        <v>0</v>
      </c>
      <c r="V327" s="65">
        <f>COUNTIF(I321:I340,"구")</f>
        <v>0</v>
      </c>
      <c r="W327" s="64" t="s">
        <v>26</v>
      </c>
      <c r="X327" s="64">
        <f>SUMIF(D321:D340,"구",F321:F340)</f>
        <v>0</v>
      </c>
      <c r="Y327" s="65">
        <f>SUMIF(I321:I340,"구",K321:K340)</f>
        <v>0</v>
      </c>
      <c r="Z327" s="10">
        <f>COUNTIF(AJ321:AJ340,"구국")+COUNTIF(AJ321:AJ340,"구공")</f>
        <v>0</v>
      </c>
      <c r="AA327" s="42">
        <f>COUNTIF(AK321:AK340,"구국")+COUNTIF(AK321:AK340,"구공")</f>
        <v>0</v>
      </c>
      <c r="AB327" s="10" t="s">
        <v>26</v>
      </c>
      <c r="AC327" s="10">
        <f>SUMIF(AJ321:AJ340,"구국",F321:F340)+SUMIF(AJ321:AJ340,"구공",F321:F340)</f>
        <v>0</v>
      </c>
      <c r="AD327" s="42">
        <f>SUMIF(AK321:AK340,"구국",K321:K340)+SUMIF(AK321:AK340,"구공",K321:K340)</f>
        <v>0</v>
      </c>
      <c r="AE327" s="64">
        <f t="shared" si="69"/>
        <v>0</v>
      </c>
      <c r="AF327" s="65">
        <f t="shared" si="69"/>
        <v>0</v>
      </c>
      <c r="AG327" s="64" t="s">
        <v>26</v>
      </c>
      <c r="AH327" s="64">
        <f t="shared" si="70"/>
        <v>0</v>
      </c>
      <c r="AI327" s="65">
        <f t="shared" si="70"/>
        <v>0</v>
      </c>
      <c r="AJ327" s="64" t="str">
        <f t="shared" si="71"/>
        <v/>
      </c>
      <c r="AK327" s="64" t="str">
        <f t="shared" si="72"/>
        <v/>
      </c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</row>
    <row r="328" spans="1:60" ht="24" hidden="1" customHeight="1" x14ac:dyDescent="0.15">
      <c r="A328" s="146">
        <v>308</v>
      </c>
      <c r="B328" s="331"/>
      <c r="C328" s="331"/>
      <c r="D328" s="331"/>
      <c r="E328" s="122"/>
      <c r="F328" s="122"/>
      <c r="G328" s="355"/>
      <c r="H328" s="354"/>
      <c r="I328" s="354"/>
      <c r="J328" s="355"/>
      <c r="K328" s="355"/>
      <c r="L328" s="332"/>
      <c r="M328" s="205"/>
      <c r="N328" s="457"/>
      <c r="O328" s="341"/>
      <c r="P328" s="205"/>
      <c r="Q328" s="205"/>
      <c r="R328" s="205"/>
      <c r="S328" s="276"/>
      <c r="T328" s="64" t="s">
        <v>34</v>
      </c>
      <c r="U328" s="64">
        <f>COUNTIF(D321:D340,"제")</f>
        <v>0</v>
      </c>
      <c r="V328" s="65">
        <f>COUNTIF(I321:I340,"제")</f>
        <v>0</v>
      </c>
      <c r="W328" s="64" t="s">
        <v>26</v>
      </c>
      <c r="X328" s="64">
        <f>SUMIF(D321:D340,"제",F321:F340)</f>
        <v>0</v>
      </c>
      <c r="Y328" s="65">
        <f>SUMIF(I321:I340,"제",K321:K340)</f>
        <v>0</v>
      </c>
      <c r="Z328" s="10">
        <f>COUNTIF(AJ321:AJ340,"제국")+COUNTIF(AJ321:AJ340,"제공")</f>
        <v>0</v>
      </c>
      <c r="AA328" s="42">
        <f>COUNTIF(AK321:AK340,"제국")+COUNTIF(AK321:AK340,"제공")</f>
        <v>0</v>
      </c>
      <c r="AB328" s="10" t="s">
        <v>26</v>
      </c>
      <c r="AC328" s="10">
        <f>SUMIF(AJ321:AJ340,"제국",F321:F340)+SUMIF(AJ321:AJ340,"제공",F321:F340)</f>
        <v>0</v>
      </c>
      <c r="AD328" s="42">
        <f>SUMIF(AK321:AK340,"제국",K321:K340)+SUMIF(AK321:AK340,"제공",K321:K340)</f>
        <v>0</v>
      </c>
      <c r="AE328" s="64">
        <f t="shared" si="69"/>
        <v>0</v>
      </c>
      <c r="AF328" s="65">
        <f t="shared" si="69"/>
        <v>0</v>
      </c>
      <c r="AG328" s="64" t="s">
        <v>26</v>
      </c>
      <c r="AH328" s="64">
        <f t="shared" si="70"/>
        <v>0</v>
      </c>
      <c r="AI328" s="65">
        <f t="shared" si="70"/>
        <v>0</v>
      </c>
      <c r="AJ328" s="64" t="str">
        <f t="shared" si="71"/>
        <v/>
      </c>
      <c r="AK328" s="64" t="str">
        <f t="shared" si="72"/>
        <v/>
      </c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</row>
    <row r="329" spans="1:60" ht="24" hidden="1" customHeight="1" x14ac:dyDescent="0.15">
      <c r="A329" s="146">
        <v>309</v>
      </c>
      <c r="B329" s="331"/>
      <c r="C329" s="331"/>
      <c r="D329" s="331"/>
      <c r="E329" s="122"/>
      <c r="F329" s="122"/>
      <c r="G329" s="355"/>
      <c r="H329" s="354"/>
      <c r="I329" s="354"/>
      <c r="J329" s="355"/>
      <c r="K329" s="355"/>
      <c r="L329" s="332"/>
      <c r="M329" s="205"/>
      <c r="N329" s="457"/>
      <c r="O329" s="341"/>
      <c r="P329" s="205"/>
      <c r="Q329" s="205"/>
      <c r="R329" s="205"/>
      <c r="S329" s="276"/>
      <c r="T329" s="64" t="s">
        <v>46</v>
      </c>
      <c r="U329" s="64">
        <f>COUNTIF(D321:D340,"유")</f>
        <v>0</v>
      </c>
      <c r="V329" s="65">
        <f>COUNTIF(I321:I340,"유")</f>
        <v>0</v>
      </c>
      <c r="W329" s="64" t="s">
        <v>26</v>
      </c>
      <c r="X329" s="64">
        <f>SUMIF(D321:D340,"유",F321:F340)</f>
        <v>0</v>
      </c>
      <c r="Y329" s="65">
        <f>SUMIF(I321:I340,"유",K321:K340)</f>
        <v>0</v>
      </c>
      <c r="Z329" s="10">
        <f>COUNTIF(AJ321:AJ340,"유국")+COUNTIF(AJ321:AJ340,"유공")</f>
        <v>0</v>
      </c>
      <c r="AA329" s="42">
        <f>COUNTIF(AK321:AK340,"유국")+COUNTIF(AK321:AK340,"유공")</f>
        <v>0</v>
      </c>
      <c r="AB329" s="10" t="s">
        <v>26</v>
      </c>
      <c r="AC329" s="10">
        <f>SUMIF(AJ321:AJ340,"유국",F321:F340)+SUMIF(AJ321:AJ340,"유공",F321:F340)</f>
        <v>0</v>
      </c>
      <c r="AD329" s="42">
        <f>SUMIF(AK321:AK340,"유국",K321:K340)+SUMIF(AK321:AK340,"유공",K321:K340)</f>
        <v>0</v>
      </c>
      <c r="AE329" s="64">
        <f t="shared" si="69"/>
        <v>0</v>
      </c>
      <c r="AF329" s="65">
        <f t="shared" si="69"/>
        <v>0</v>
      </c>
      <c r="AG329" s="64" t="s">
        <v>26</v>
      </c>
      <c r="AH329" s="64">
        <f t="shared" si="70"/>
        <v>0</v>
      </c>
      <c r="AI329" s="65">
        <f t="shared" si="70"/>
        <v>0</v>
      </c>
      <c r="AJ329" s="64" t="str">
        <f t="shared" si="71"/>
        <v/>
      </c>
      <c r="AK329" s="64" t="str">
        <f t="shared" si="72"/>
        <v/>
      </c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</row>
    <row r="330" spans="1:60" ht="24" hidden="1" customHeight="1" x14ac:dyDescent="0.15">
      <c r="A330" s="146">
        <v>310</v>
      </c>
      <c r="B330" s="331"/>
      <c r="C330" s="331"/>
      <c r="D330" s="331"/>
      <c r="E330" s="122"/>
      <c r="F330" s="122"/>
      <c r="G330" s="355"/>
      <c r="H330" s="354"/>
      <c r="I330" s="354"/>
      <c r="J330" s="355"/>
      <c r="K330" s="355"/>
      <c r="L330" s="332"/>
      <c r="M330" s="205"/>
      <c r="N330" s="457"/>
      <c r="O330" s="341"/>
      <c r="P330" s="205"/>
      <c r="Q330" s="205"/>
      <c r="R330" s="205"/>
      <c r="S330" s="276"/>
      <c r="T330" s="64" t="s">
        <v>47</v>
      </c>
      <c r="U330" s="64">
        <f>COUNTIF(D321:D340,"과")</f>
        <v>0</v>
      </c>
      <c r="V330" s="65">
        <f>COUNTIF(I321:I340,"과")</f>
        <v>0</v>
      </c>
      <c r="W330" s="64" t="s">
        <v>26</v>
      </c>
      <c r="X330" s="64">
        <f>SUMIF(D321:D340,"과",F321:F340)</f>
        <v>0</v>
      </c>
      <c r="Y330" s="65">
        <f>SUMIF(I321:I340,"과",K321:K340)</f>
        <v>0</v>
      </c>
      <c r="Z330" s="10">
        <f>COUNTIF(AJ321:AJ340,"과국")+COUNTIF(AJ321:AJ340,"과공")</f>
        <v>0</v>
      </c>
      <c r="AA330" s="42">
        <f>COUNTIF(AK321:AK340,"과국")+COUNTIF(AK321:AK340,"과공")</f>
        <v>0</v>
      </c>
      <c r="AB330" s="10" t="s">
        <v>26</v>
      </c>
      <c r="AC330" s="10">
        <f>SUMIF(AJ321:AJ340,"과국",F321:F340)+SUMIF(AJ321:AJ340,"과공",F321:F340)</f>
        <v>0</v>
      </c>
      <c r="AD330" s="42">
        <f>SUMIF(AK321:AK340,"과국",K321:K340)+SUMIF(AK321:AK340,"과공",K321:K340)</f>
        <v>0</v>
      </c>
      <c r="AE330" s="64">
        <f t="shared" si="69"/>
        <v>0</v>
      </c>
      <c r="AF330" s="65">
        <f t="shared" si="69"/>
        <v>0</v>
      </c>
      <c r="AG330" s="64" t="s">
        <v>26</v>
      </c>
      <c r="AH330" s="64">
        <f t="shared" si="70"/>
        <v>0</v>
      </c>
      <c r="AI330" s="65">
        <f t="shared" si="70"/>
        <v>0</v>
      </c>
      <c r="AJ330" s="64" t="str">
        <f t="shared" si="71"/>
        <v/>
      </c>
      <c r="AK330" s="64" t="str">
        <f t="shared" si="72"/>
        <v/>
      </c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</row>
    <row r="331" spans="1:60" ht="24" hidden="1" customHeight="1" x14ac:dyDescent="0.15">
      <c r="A331" s="146">
        <v>311</v>
      </c>
      <c r="B331" s="331"/>
      <c r="C331" s="331"/>
      <c r="D331" s="331"/>
      <c r="E331" s="122"/>
      <c r="F331" s="122"/>
      <c r="G331" s="355"/>
      <c r="H331" s="354"/>
      <c r="I331" s="354"/>
      <c r="J331" s="355"/>
      <c r="K331" s="355"/>
      <c r="L331" s="332"/>
      <c r="M331" s="205"/>
      <c r="N331" s="457"/>
      <c r="O331" s="341"/>
      <c r="P331" s="205"/>
      <c r="Q331" s="205"/>
      <c r="R331" s="205"/>
      <c r="S331" s="276"/>
      <c r="T331" s="64" t="s">
        <v>36</v>
      </c>
      <c r="U331" s="64">
        <f>COUNTIF(D321:D340,"묘")</f>
        <v>0</v>
      </c>
      <c r="V331" s="65">
        <f>COUNTIF(I321:I340,"묘")</f>
        <v>0</v>
      </c>
      <c r="W331" s="64" t="s">
        <v>26</v>
      </c>
      <c r="X331" s="64">
        <f>SUMIF(D321:D340,"묘",F321:F340)</f>
        <v>0</v>
      </c>
      <c r="Y331" s="65">
        <f>SUMIF(I321:I340,"묘",K321:K340)</f>
        <v>0</v>
      </c>
      <c r="Z331" s="10">
        <f>COUNTIF(AJ321:AJ340,"묘국")+COUNTIF(AJ321:AJ340,"묘공")</f>
        <v>0</v>
      </c>
      <c r="AA331" s="42">
        <f>COUNTIF(AK321:AK340,"묘국")+COUNTIF(AK321:AK340,"묘공")</f>
        <v>0</v>
      </c>
      <c r="AB331" s="10" t="s">
        <v>26</v>
      </c>
      <c r="AC331" s="10">
        <f>SUMIF(AJ321:AJ340,"묘국",F321:F340)+SUMIF(AJ321:AJ340,"묘공",F321:F340)</f>
        <v>0</v>
      </c>
      <c r="AD331" s="42">
        <f>SUMIF(AK321:AK340,"묘국",K321:K340)+SUMIF(AK321:AK340,"묘공",K321:K340)</f>
        <v>0</v>
      </c>
      <c r="AE331" s="64">
        <f t="shared" si="69"/>
        <v>0</v>
      </c>
      <c r="AF331" s="65">
        <f t="shared" si="69"/>
        <v>0</v>
      </c>
      <c r="AG331" s="64" t="s">
        <v>26</v>
      </c>
      <c r="AH331" s="64">
        <f t="shared" si="70"/>
        <v>0</v>
      </c>
      <c r="AI331" s="65">
        <f t="shared" si="70"/>
        <v>0</v>
      </c>
      <c r="AJ331" s="64" t="str">
        <f t="shared" si="71"/>
        <v/>
      </c>
      <c r="AK331" s="64" t="str">
        <f t="shared" si="72"/>
        <v/>
      </c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</row>
    <row r="332" spans="1:60" ht="24" hidden="1" customHeight="1" x14ac:dyDescent="0.15">
      <c r="A332" s="146">
        <v>312</v>
      </c>
      <c r="B332" s="331"/>
      <c r="C332" s="331"/>
      <c r="D332" s="331"/>
      <c r="E332" s="122"/>
      <c r="F332" s="122"/>
      <c r="G332" s="355"/>
      <c r="H332" s="354"/>
      <c r="I332" s="354"/>
      <c r="J332" s="355"/>
      <c r="K332" s="355"/>
      <c r="L332" s="332"/>
      <c r="M332" s="205"/>
      <c r="N332" s="457"/>
      <c r="O332" s="341"/>
      <c r="P332" s="13"/>
      <c r="Q332" s="205"/>
      <c r="R332" s="13"/>
      <c r="S332" s="276"/>
      <c r="T332" s="64" t="s">
        <v>39</v>
      </c>
      <c r="U332" s="64">
        <f>COUNTIF(D321:D340,"수")</f>
        <v>0</v>
      </c>
      <c r="V332" s="65">
        <f>COUNTIF(I321:I340,"수")</f>
        <v>0</v>
      </c>
      <c r="W332" s="64" t="s">
        <v>26</v>
      </c>
      <c r="X332" s="64">
        <f>SUMIF(D321:D340,"수",F321:F340)</f>
        <v>0</v>
      </c>
      <c r="Y332" s="65">
        <f>SUMIF(I321:I340,"수",K321:K340)</f>
        <v>0</v>
      </c>
      <c r="Z332" s="10">
        <f>COUNTIF(AJ321:AJ340,"수국")+COUNTIF(AJ321:AJ340,"수공")</f>
        <v>0</v>
      </c>
      <c r="AA332" s="42">
        <f>COUNTIF(AK321:AK340,"수국")+COUNTIF(AK321:AK340,"수공")</f>
        <v>0</v>
      </c>
      <c r="AB332" s="10" t="s">
        <v>26</v>
      </c>
      <c r="AC332" s="10">
        <f>SUMIF(AJ321:AJ340,"수국",F321:F340)+SUMIF(AJ321:AJ340,"수공",F321:F340)</f>
        <v>0</v>
      </c>
      <c r="AD332" s="42">
        <f>SUMIF(AK321:AK340,"수국",K321:K340)+SUMIF(AK321:AK340,"수공",K321:K340)</f>
        <v>0</v>
      </c>
      <c r="AE332" s="64">
        <f t="shared" si="69"/>
        <v>0</v>
      </c>
      <c r="AF332" s="65">
        <f t="shared" si="69"/>
        <v>0</v>
      </c>
      <c r="AG332" s="64" t="s">
        <v>26</v>
      </c>
      <c r="AH332" s="64">
        <f t="shared" si="70"/>
        <v>0</v>
      </c>
      <c r="AI332" s="65">
        <f t="shared" si="70"/>
        <v>0</v>
      </c>
      <c r="AJ332" s="64" t="str">
        <f t="shared" si="71"/>
        <v/>
      </c>
      <c r="AK332" s="64" t="str">
        <f t="shared" si="72"/>
        <v/>
      </c>
    </row>
    <row r="333" spans="1:60" ht="24" hidden="1" customHeight="1" x14ac:dyDescent="0.15">
      <c r="A333" s="146">
        <v>313</v>
      </c>
      <c r="B333" s="331"/>
      <c r="C333" s="331"/>
      <c r="D333" s="331"/>
      <c r="E333" s="122"/>
      <c r="F333" s="122"/>
      <c r="G333" s="355"/>
      <c r="H333" s="354"/>
      <c r="I333" s="354"/>
      <c r="J333" s="355"/>
      <c r="K333" s="355"/>
      <c r="L333" s="332"/>
      <c r="M333" s="205"/>
      <c r="N333" s="457"/>
      <c r="O333" s="341"/>
      <c r="P333" s="13"/>
      <c r="Q333" s="205"/>
      <c r="R333" s="13"/>
      <c r="S333" s="276"/>
      <c r="T333" s="64" t="s">
        <v>35</v>
      </c>
      <c r="U333" s="64">
        <f>COUNTIF(D321:D340,"잡")</f>
        <v>0</v>
      </c>
      <c r="V333" s="65">
        <f>COUNTIF(I321:I340,"잡")</f>
        <v>0</v>
      </c>
      <c r="W333" s="64" t="s">
        <v>26</v>
      </c>
      <c r="X333" s="64">
        <f>SUMIF(D321:D340,"잡",F321:F340)</f>
        <v>0</v>
      </c>
      <c r="Y333" s="65">
        <f>SUMIF(I321:I340,"잡",K321:K340)</f>
        <v>0</v>
      </c>
      <c r="Z333" s="10">
        <f>COUNTIF(AJ321:AJ340,"잡국")+COUNTIF(AJ321:AJ340,"잡공")</f>
        <v>0</v>
      </c>
      <c r="AA333" s="42">
        <f>COUNTIF(AK321:AK340,"잡국")+COUNTIF(AK321:AK340,"잡공")</f>
        <v>0</v>
      </c>
      <c r="AB333" s="10" t="s">
        <v>26</v>
      </c>
      <c r="AC333" s="10">
        <f>SUMIF(AJ321:AJ340,"잡국",F321:F340)+SUMIF(AJ321:AJ340,"잡공",F321:F340)</f>
        <v>0</v>
      </c>
      <c r="AD333" s="42">
        <f>SUMIF(AK321:AK340,"잡국",K321:K340)+SUMIF(AK321:AK340,"잡공",K321:K340)</f>
        <v>0</v>
      </c>
      <c r="AE333" s="64">
        <f t="shared" si="69"/>
        <v>0</v>
      </c>
      <c r="AF333" s="65">
        <f t="shared" si="69"/>
        <v>0</v>
      </c>
      <c r="AG333" s="64" t="s">
        <v>26</v>
      </c>
      <c r="AH333" s="64">
        <f t="shared" si="70"/>
        <v>0</v>
      </c>
      <c r="AI333" s="65">
        <f t="shared" si="70"/>
        <v>0</v>
      </c>
      <c r="AJ333" s="64" t="str">
        <f t="shared" si="71"/>
        <v/>
      </c>
      <c r="AK333" s="64" t="str">
        <f t="shared" si="72"/>
        <v/>
      </c>
    </row>
    <row r="334" spans="1:60" ht="24" hidden="1" customHeight="1" x14ac:dyDescent="0.15">
      <c r="A334" s="146">
        <v>314</v>
      </c>
      <c r="B334" s="331"/>
      <c r="C334" s="331"/>
      <c r="D334" s="331"/>
      <c r="E334" s="122"/>
      <c r="F334" s="122"/>
      <c r="G334" s="355"/>
      <c r="H334" s="354"/>
      <c r="I334" s="354"/>
      <c r="J334" s="355"/>
      <c r="K334" s="355"/>
      <c r="L334" s="332"/>
      <c r="M334" s="205"/>
      <c r="N334" s="457"/>
      <c r="O334" s="341"/>
      <c r="P334" s="13"/>
      <c r="Q334" s="205"/>
      <c r="R334" s="13"/>
      <c r="S334" s="276"/>
      <c r="T334" s="64" t="s">
        <v>51</v>
      </c>
      <c r="U334" s="64">
        <f>COUNTIF(D321:D340,"체")</f>
        <v>0</v>
      </c>
      <c r="V334" s="65">
        <f>COUNTIF(I321:I340,"체")</f>
        <v>0</v>
      </c>
      <c r="W334" s="64" t="s">
        <v>26</v>
      </c>
      <c r="X334" s="64">
        <f>SUMIF(D321:D340,"체",F321:F340)</f>
        <v>0</v>
      </c>
      <c r="Y334" s="65">
        <f>SUMIF(I321:I340,"체",K321:K340)</f>
        <v>0</v>
      </c>
      <c r="Z334" s="10">
        <f>COUNTIF(AJ321:AJ340,"체국")+COUNTIF(AJ321:AJ340,"체공")</f>
        <v>0</v>
      </c>
      <c r="AA334" s="42">
        <f>COUNTIF(AK321:AK340,"체국")+COUNTIF(AK321:AK340,"체공")</f>
        <v>0</v>
      </c>
      <c r="AB334" s="10" t="s">
        <v>26</v>
      </c>
      <c r="AC334" s="10">
        <f>SUMIF(AJ321:AJ340,"체국",F321:F340)+SUMIF(AJ321:AJ340,"체공",F321:F340)</f>
        <v>0</v>
      </c>
      <c r="AD334" s="42">
        <f>SUMIF(AK321:AK340,"체국",K321:K340)+SUMIF(AK321:AK340,"체공",K321:K340)</f>
        <v>0</v>
      </c>
      <c r="AE334" s="64">
        <f t="shared" si="69"/>
        <v>0</v>
      </c>
      <c r="AF334" s="65">
        <f t="shared" si="69"/>
        <v>0</v>
      </c>
      <c r="AG334" s="64" t="s">
        <v>26</v>
      </c>
      <c r="AH334" s="64">
        <f t="shared" si="70"/>
        <v>0</v>
      </c>
      <c r="AI334" s="65">
        <f t="shared" si="70"/>
        <v>0</v>
      </c>
      <c r="AJ334" s="64" t="str">
        <f t="shared" si="71"/>
        <v/>
      </c>
      <c r="AK334" s="64" t="str">
        <f t="shared" si="72"/>
        <v/>
      </c>
    </row>
    <row r="335" spans="1:60" ht="24" hidden="1" customHeight="1" x14ac:dyDescent="0.15">
      <c r="A335" s="146">
        <v>315</v>
      </c>
      <c r="B335" s="331"/>
      <c r="C335" s="331"/>
      <c r="D335" s="331"/>
      <c r="E335" s="122"/>
      <c r="F335" s="122"/>
      <c r="G335" s="355"/>
      <c r="H335" s="354"/>
      <c r="I335" s="354"/>
      <c r="J335" s="355"/>
      <c r="K335" s="355"/>
      <c r="L335" s="332"/>
      <c r="M335" s="205"/>
      <c r="N335" s="457"/>
      <c r="O335" s="341"/>
      <c r="P335" s="13"/>
      <c r="Q335" s="205"/>
      <c r="R335" s="13"/>
      <c r="S335" s="276"/>
      <c r="T335" s="64" t="s">
        <v>50</v>
      </c>
      <c r="U335" s="64">
        <f>COUNTIF(D321:D340,"공")</f>
        <v>0</v>
      </c>
      <c r="V335" s="65">
        <f>COUNTIF(I321:I340,"공")</f>
        <v>0</v>
      </c>
      <c r="W335" s="64" t="s">
        <v>26</v>
      </c>
      <c r="X335" s="64">
        <f>SUMIF(D321:D340,"공",F321:F340)</f>
        <v>0</v>
      </c>
      <c r="Y335" s="65">
        <f>SUMIF(I321:I340,"공",K321:K340)</f>
        <v>0</v>
      </c>
      <c r="Z335" s="10">
        <f>COUNTIF(AJ321:AJ340,"공국")+COUNTIF(AJ321:AJ340,"공공")</f>
        <v>0</v>
      </c>
      <c r="AA335" s="42">
        <f>COUNTIF(AK321:AK340,"공국")+COUNTIF(AK321:AK340,"공공")</f>
        <v>0</v>
      </c>
      <c r="AB335" s="10" t="s">
        <v>26</v>
      </c>
      <c r="AC335" s="10">
        <f>SUMIF(AJ321:AJ340,"공국",F321:F340)+SUMIF(AJ321:AJ340,"공공",F321:F340)</f>
        <v>0</v>
      </c>
      <c r="AD335" s="42">
        <f>SUMIF(AK321:AK340,"공국",K321:K340)+SUMIF(AK321:AK340,"공공",K321:K340)</f>
        <v>0</v>
      </c>
      <c r="AE335" s="64">
        <f t="shared" si="69"/>
        <v>0</v>
      </c>
      <c r="AF335" s="65">
        <f t="shared" si="69"/>
        <v>0</v>
      </c>
      <c r="AG335" s="64" t="s">
        <v>26</v>
      </c>
      <c r="AH335" s="64">
        <f t="shared" si="70"/>
        <v>0</v>
      </c>
      <c r="AI335" s="65">
        <f t="shared" si="70"/>
        <v>0</v>
      </c>
      <c r="AJ335" s="64" t="str">
        <f t="shared" si="71"/>
        <v/>
      </c>
      <c r="AK335" s="64" t="str">
        <f t="shared" si="72"/>
        <v/>
      </c>
    </row>
    <row r="336" spans="1:60" ht="24" hidden="1" customHeight="1" x14ac:dyDescent="0.15">
      <c r="A336" s="146">
        <v>316</v>
      </c>
      <c r="B336" s="331"/>
      <c r="C336" s="331"/>
      <c r="D336" s="331"/>
      <c r="E336" s="122"/>
      <c r="F336" s="122"/>
      <c r="G336" s="355"/>
      <c r="H336" s="354"/>
      <c r="I336" s="354"/>
      <c r="J336" s="355"/>
      <c r="K336" s="355"/>
      <c r="L336" s="332"/>
      <c r="M336" s="205"/>
      <c r="N336" s="457"/>
      <c r="O336" s="341"/>
      <c r="P336" s="13"/>
      <c r="Q336" s="205"/>
      <c r="R336" s="13"/>
      <c r="S336" s="276"/>
      <c r="T336" s="70" t="s">
        <v>40</v>
      </c>
      <c r="U336" s="64">
        <f>COUNTIF(D321:D340,"장")</f>
        <v>0</v>
      </c>
      <c r="V336" s="65">
        <f>COUNTIF(I321:I340,"장")</f>
        <v>0</v>
      </c>
      <c r="W336" s="64" t="s">
        <v>26</v>
      </c>
      <c r="X336" s="64">
        <f>SUMIF(D321:D340,"장",F321:F340)</f>
        <v>0</v>
      </c>
      <c r="Y336" s="65">
        <f>SUMIF(I321:I340,"장",K321:K340)</f>
        <v>0</v>
      </c>
      <c r="Z336" s="10">
        <f>COUNTIF(AJ321:AJ340,"장국")+COUNTIF(AJ321:AJ340,"장공")</f>
        <v>0</v>
      </c>
      <c r="AA336" s="42">
        <f>COUNTIF(AK321:AK340,"장국")+COUNTIF(AK321:AK340,"장공")</f>
        <v>0</v>
      </c>
      <c r="AB336" s="10" t="s">
        <v>26</v>
      </c>
      <c r="AC336" s="10">
        <f>SUMIF(AJ321:AJ340,"장국",F321:F340)+SUMIF(AJ321:AJ340,"장공",F321:F340)</f>
        <v>0</v>
      </c>
      <c r="AD336" s="42">
        <f>SUMIF(AK321:AK340,"장국",K321:K340)+SUMIF(AK321:AK340,"장공",K321:K340)</f>
        <v>0</v>
      </c>
      <c r="AE336" s="64">
        <f t="shared" si="69"/>
        <v>0</v>
      </c>
      <c r="AF336" s="65">
        <f t="shared" si="69"/>
        <v>0</v>
      </c>
      <c r="AG336" s="64" t="s">
        <v>26</v>
      </c>
      <c r="AH336" s="64">
        <f t="shared" si="70"/>
        <v>0</v>
      </c>
      <c r="AI336" s="65">
        <f t="shared" si="70"/>
        <v>0</v>
      </c>
      <c r="AJ336" s="64" t="str">
        <f t="shared" si="71"/>
        <v/>
      </c>
      <c r="AK336" s="64" t="str">
        <f t="shared" si="72"/>
        <v/>
      </c>
    </row>
    <row r="337" spans="1:60" ht="24" hidden="1" customHeight="1" x14ac:dyDescent="0.15">
      <c r="A337" s="146">
        <v>317</v>
      </c>
      <c r="B337" s="331"/>
      <c r="C337" s="331"/>
      <c r="D337" s="331"/>
      <c r="E337" s="122"/>
      <c r="F337" s="122"/>
      <c r="G337" s="355"/>
      <c r="H337" s="354"/>
      <c r="I337" s="354"/>
      <c r="J337" s="355"/>
      <c r="K337" s="355"/>
      <c r="L337" s="332"/>
      <c r="M337" s="205"/>
      <c r="N337" s="457"/>
      <c r="O337" s="341"/>
      <c r="P337" s="13"/>
      <c r="Q337" s="205"/>
      <c r="R337" s="13"/>
      <c r="S337" s="276"/>
      <c r="T337" s="70" t="s">
        <v>5</v>
      </c>
      <c r="U337" s="64">
        <f>COUNTIF(D321:D340,"목")</f>
        <v>0</v>
      </c>
      <c r="V337" s="65">
        <f>COUNTIF(I321:I340,"목")</f>
        <v>0</v>
      </c>
      <c r="W337" s="64" t="s">
        <v>26</v>
      </c>
      <c r="X337" s="64">
        <f>SUMIF(D321:D340,"목",F321:F340)</f>
        <v>0</v>
      </c>
      <c r="Y337" s="65">
        <f>SUMIF(I321:I340,"목",K321:K340)</f>
        <v>0</v>
      </c>
      <c r="Z337" s="10">
        <f>COUNTIF(AJ321:AJ340,"목국")+COUNTIF(AJ321:AJ340,"목공")</f>
        <v>0</v>
      </c>
      <c r="AA337" s="42">
        <f>COUNTIF(AK321:AK340,"목국")+COUNTIF(AK321:AK340,"목공")</f>
        <v>0</v>
      </c>
      <c r="AB337" s="10" t="s">
        <v>26</v>
      </c>
      <c r="AC337" s="10">
        <f>SUMIF(AJ321:AJ340,"목국",F321:F340)+SUMIF(AJ321:AJ340,"목공",F321:F340)</f>
        <v>0</v>
      </c>
      <c r="AD337" s="42">
        <f>SUMIF(AK321:AK340,"목국",K321:K340)+SUMIF(AK321:AK340,"목공",K321:K340)</f>
        <v>0</v>
      </c>
      <c r="AE337" s="64">
        <f t="shared" si="69"/>
        <v>0</v>
      </c>
      <c r="AF337" s="65">
        <f t="shared" si="69"/>
        <v>0</v>
      </c>
      <c r="AG337" s="64" t="s">
        <v>26</v>
      </c>
      <c r="AH337" s="64">
        <f t="shared" si="70"/>
        <v>0</v>
      </c>
      <c r="AI337" s="65">
        <f t="shared" si="70"/>
        <v>0</v>
      </c>
      <c r="AJ337" s="64" t="str">
        <f t="shared" si="71"/>
        <v/>
      </c>
      <c r="AK337" s="64" t="str">
        <f t="shared" si="72"/>
        <v/>
      </c>
    </row>
    <row r="338" spans="1:60" ht="24" hidden="1" customHeight="1" x14ac:dyDescent="0.15">
      <c r="A338" s="146">
        <v>318</v>
      </c>
      <c r="B338" s="331"/>
      <c r="C338" s="331"/>
      <c r="D338" s="331"/>
      <c r="E338" s="122"/>
      <c r="F338" s="122"/>
      <c r="G338" s="355"/>
      <c r="H338" s="354"/>
      <c r="I338" s="354"/>
      <c r="J338" s="355"/>
      <c r="K338" s="355"/>
      <c r="L338" s="332"/>
      <c r="M338" s="205"/>
      <c r="N338" s="457"/>
      <c r="O338" s="341"/>
      <c r="P338" s="13"/>
      <c r="Q338" s="205"/>
      <c r="R338" s="13"/>
      <c r="S338" s="276"/>
      <c r="T338" s="70"/>
      <c r="U338" s="70"/>
      <c r="V338" s="71"/>
      <c r="W338" s="70"/>
      <c r="X338" s="70"/>
      <c r="Y338" s="71"/>
      <c r="Z338" s="10"/>
      <c r="AA338" s="42"/>
      <c r="AB338" s="11"/>
      <c r="AC338" s="10"/>
      <c r="AD338" s="42"/>
      <c r="AE338" s="70"/>
      <c r="AF338" s="71"/>
      <c r="AG338" s="70"/>
      <c r="AH338" s="70"/>
      <c r="AI338" s="71"/>
      <c r="AJ338" s="64" t="str">
        <f t="shared" si="71"/>
        <v/>
      </c>
      <c r="AK338" s="64" t="str">
        <f t="shared" si="72"/>
        <v/>
      </c>
    </row>
    <row r="339" spans="1:60" ht="24" hidden="1" customHeight="1" x14ac:dyDescent="0.15">
      <c r="A339" s="146">
        <v>319</v>
      </c>
      <c r="B339" s="331"/>
      <c r="C339" s="331"/>
      <c r="D339" s="331"/>
      <c r="E339" s="122"/>
      <c r="F339" s="122"/>
      <c r="G339" s="355"/>
      <c r="H339" s="354"/>
      <c r="I339" s="354"/>
      <c r="J339" s="355"/>
      <c r="K339" s="355"/>
      <c r="L339" s="332"/>
      <c r="M339" s="205"/>
      <c r="N339" s="457"/>
      <c r="O339" s="341"/>
      <c r="P339" s="13"/>
      <c r="Q339" s="205"/>
      <c r="R339" s="13"/>
      <c r="S339" s="624"/>
      <c r="T339" s="70"/>
      <c r="U339" s="70"/>
      <c r="V339" s="71"/>
      <c r="W339" s="70"/>
      <c r="X339" s="70"/>
      <c r="Y339" s="71"/>
      <c r="Z339" s="10"/>
      <c r="AA339" s="42"/>
      <c r="AB339" s="11"/>
      <c r="AC339" s="10"/>
      <c r="AD339" s="42"/>
      <c r="AE339" s="70"/>
      <c r="AF339" s="71"/>
      <c r="AG339" s="70"/>
      <c r="AH339" s="70"/>
      <c r="AI339" s="71"/>
      <c r="AJ339" s="64" t="str">
        <f t="shared" si="71"/>
        <v/>
      </c>
      <c r="AK339" s="64" t="str">
        <f t="shared" si="72"/>
        <v/>
      </c>
    </row>
    <row r="340" spans="1:60" ht="24" hidden="1" customHeight="1" x14ac:dyDescent="0.15">
      <c r="A340" s="146">
        <v>320</v>
      </c>
      <c r="B340" s="331"/>
      <c r="C340" s="331"/>
      <c r="D340" s="331"/>
      <c r="E340" s="122"/>
      <c r="F340" s="122"/>
      <c r="G340" s="355"/>
      <c r="H340" s="354"/>
      <c r="I340" s="354"/>
      <c r="J340" s="355"/>
      <c r="K340" s="355"/>
      <c r="L340" s="332"/>
      <c r="M340" s="205"/>
      <c r="N340" s="457"/>
      <c r="O340" s="341"/>
      <c r="P340" s="13"/>
      <c r="Q340" s="205"/>
      <c r="R340" s="13"/>
      <c r="S340" s="624"/>
      <c r="T340" s="72" t="s">
        <v>37</v>
      </c>
      <c r="U340" s="72">
        <f>COUNTIF(D321:D340,"철")</f>
        <v>0</v>
      </c>
      <c r="V340" s="73">
        <f>COUNTIF(I321:I340,"철")</f>
        <v>0</v>
      </c>
      <c r="W340" s="72" t="s">
        <v>26</v>
      </c>
      <c r="X340" s="72">
        <f>SUMIF(D321:D340,"철",F321:F340)</f>
        <v>0</v>
      </c>
      <c r="Y340" s="73">
        <f>SUMIF(I321:I340,"철",K321:K340)</f>
        <v>0</v>
      </c>
      <c r="Z340" s="10">
        <f>COUNTIF(AJ321:AJ340,"철국")+COUNTIF(AJ321:AJ340,"철공")</f>
        <v>0</v>
      </c>
      <c r="AA340" s="42">
        <f>COUNTIF(AK321:AK340,"철국")+COUNTIF(AK321:AK340,"철공")</f>
        <v>0</v>
      </c>
      <c r="AB340" s="12" t="s">
        <v>26</v>
      </c>
      <c r="AC340" s="10">
        <f>SUMIF(AJ321:AJ340,"철국",F321:F340)+SUMIF(AJ321:AJ340,"철공",F321:F340)</f>
        <v>0</v>
      </c>
      <c r="AD340" s="42">
        <f>SUMIF(AK321:AK340,"철국",K321:K340)+SUMIF(AK321:AK340,"철공",K321:K340)</f>
        <v>0</v>
      </c>
      <c r="AE340" s="72"/>
      <c r="AF340" s="73"/>
      <c r="AG340" s="72"/>
      <c r="AH340" s="72"/>
      <c r="AI340" s="73"/>
      <c r="AJ340" s="64" t="str">
        <f t="shared" si="71"/>
        <v/>
      </c>
      <c r="AK340" s="64" t="str">
        <f t="shared" si="72"/>
        <v/>
      </c>
    </row>
    <row r="341" spans="1:60" ht="24" hidden="1" customHeight="1" thickBot="1" x14ac:dyDescent="0.2">
      <c r="A341" s="1109" t="s">
        <v>48</v>
      </c>
      <c r="B341" s="1110"/>
      <c r="C341" s="1110"/>
      <c r="D341" s="1110"/>
      <c r="E341" s="1111"/>
      <c r="F341" s="149">
        <f>SUM(F321:F340)</f>
        <v>0</v>
      </c>
      <c r="G341" s="542"/>
      <c r="H341" s="543"/>
      <c r="I341" s="543"/>
      <c r="J341" s="542"/>
      <c r="K341" s="544">
        <f>SUM(K321:K340)</f>
        <v>0</v>
      </c>
      <c r="L341" s="545"/>
      <c r="M341" s="546"/>
      <c r="N341" s="547"/>
      <c r="O341" s="548"/>
      <c r="P341" s="564"/>
      <c r="Q341" s="564"/>
      <c r="R341" s="564"/>
      <c r="S341" s="15"/>
      <c r="T341" s="62" t="s">
        <v>24</v>
      </c>
      <c r="U341" s="63">
        <f t="shared" ref="U341:AA341" si="73">SUM(U321:U340)</f>
        <v>0</v>
      </c>
      <c r="V341" s="63">
        <f t="shared" si="73"/>
        <v>0</v>
      </c>
      <c r="W341" s="63">
        <f t="shared" si="73"/>
        <v>0</v>
      </c>
      <c r="X341" s="63">
        <f t="shared" si="73"/>
        <v>0</v>
      </c>
      <c r="Y341" s="63">
        <f t="shared" si="73"/>
        <v>0</v>
      </c>
      <c r="Z341" s="37">
        <f t="shared" si="73"/>
        <v>0</v>
      </c>
      <c r="AA341" s="43">
        <f t="shared" si="73"/>
        <v>0</v>
      </c>
      <c r="AB341" s="37" t="s">
        <v>26</v>
      </c>
      <c r="AC341" s="37">
        <f>SUM(AC321:AC340)</f>
        <v>0</v>
      </c>
      <c r="AD341" s="43">
        <f>SUM(AD321:AD340)</f>
        <v>0</v>
      </c>
      <c r="AE341" s="63">
        <f>SUM(AE321:AE340)</f>
        <v>0</v>
      </c>
      <c r="AF341" s="63">
        <f>SUM(AF321:AF340)</f>
        <v>0</v>
      </c>
      <c r="AG341" s="63" t="s">
        <v>26</v>
      </c>
      <c r="AH341" s="63">
        <f>SUM(AH321:AH340)</f>
        <v>0</v>
      </c>
      <c r="AI341" s="63">
        <f>SUM(AI321:AI340)</f>
        <v>0</v>
      </c>
      <c r="AJ341" s="63"/>
      <c r="AK341" s="57"/>
      <c r="AL341" s="66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</row>
    <row r="342" spans="1:60" ht="24" hidden="1" customHeight="1" x14ac:dyDescent="0.15">
      <c r="A342" s="139">
        <v>321</v>
      </c>
      <c r="B342" s="389"/>
      <c r="C342" s="389"/>
      <c r="D342" s="389"/>
      <c r="E342" s="336"/>
      <c r="F342" s="336"/>
      <c r="G342" s="551"/>
      <c r="H342" s="631"/>
      <c r="I342" s="631"/>
      <c r="J342" s="551"/>
      <c r="K342" s="551"/>
      <c r="L342" s="632"/>
      <c r="M342" s="335"/>
      <c r="N342" s="633"/>
      <c r="O342" s="337"/>
      <c r="P342" s="335"/>
      <c r="Q342" s="335"/>
      <c r="R342" s="335"/>
      <c r="S342" s="391"/>
      <c r="T342" s="64" t="s">
        <v>27</v>
      </c>
      <c r="U342" s="64">
        <f>COUNTIF(D342:D361,"전")</f>
        <v>0</v>
      </c>
      <c r="V342" s="65">
        <f>COUNTIF(I342:I361,"전")</f>
        <v>0</v>
      </c>
      <c r="W342" s="64" t="s">
        <v>26</v>
      </c>
      <c r="X342" s="64">
        <f>SUMIF(D342:D361,"전",F342:F361)</f>
        <v>0</v>
      </c>
      <c r="Y342" s="65">
        <f>SUMIF(I342:I361,"전",K342:K361)</f>
        <v>0</v>
      </c>
      <c r="Z342" s="10">
        <f>COUNTIF(AJ342:AJ361,"전국")+COUNTIF(AJ342:AJ361,"전공")</f>
        <v>0</v>
      </c>
      <c r="AA342" s="42">
        <f>COUNTIF(AK342:AK361,"전국")+COUNTIF(AK342:AK361,"전공")</f>
        <v>0</v>
      </c>
      <c r="AB342" s="10" t="s">
        <v>26</v>
      </c>
      <c r="AC342" s="10">
        <f>SUMIF(AJ342:AJ361,"전국",F342:F361)+SUMIF(AJ342:AJ361,"전공",F342:F361)</f>
        <v>0</v>
      </c>
      <c r="AD342" s="42">
        <f>SUMIF(AK342:AK361,"전국",K342:K361)+SUMIF(AK342:AK361,"전공",K342:K361)</f>
        <v>0</v>
      </c>
      <c r="AE342" s="64">
        <f t="shared" ref="AE342:AF358" si="74">U342-Z342</f>
        <v>0</v>
      </c>
      <c r="AF342" s="65">
        <f t="shared" si="74"/>
        <v>0</v>
      </c>
      <c r="AG342" s="64" t="s">
        <v>26</v>
      </c>
      <c r="AH342" s="64">
        <f t="shared" ref="AH342:AI358" si="75">X342-AC342</f>
        <v>0</v>
      </c>
      <c r="AI342" s="65">
        <f t="shared" si="75"/>
        <v>0</v>
      </c>
      <c r="AJ342" s="64" t="str">
        <f t="shared" ref="AJ342:AJ361" si="76">CONCATENATE(D342,L342)</f>
        <v/>
      </c>
      <c r="AK342" s="64" t="str">
        <f t="shared" ref="AK342:AK361" si="77">CONCATENATE(I342,L342)</f>
        <v/>
      </c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</row>
    <row r="343" spans="1:60" ht="24" hidden="1" customHeight="1" x14ac:dyDescent="0.15">
      <c r="A343" s="146">
        <v>322</v>
      </c>
      <c r="B343" s="331"/>
      <c r="C343" s="331"/>
      <c r="D343" s="331"/>
      <c r="E343" s="122"/>
      <c r="F343" s="122"/>
      <c r="G343" s="355"/>
      <c r="H343" s="354"/>
      <c r="I343" s="354"/>
      <c r="J343" s="355"/>
      <c r="K343" s="355"/>
      <c r="L343" s="332"/>
      <c r="M343" s="205"/>
      <c r="N343" s="457"/>
      <c r="O343" s="341"/>
      <c r="P343" s="205"/>
      <c r="Q343" s="205"/>
      <c r="R343" s="205"/>
      <c r="S343" s="276"/>
      <c r="T343" s="64" t="s">
        <v>28</v>
      </c>
      <c r="U343" s="64">
        <f>COUNTIF(D342:D361,"답")</f>
        <v>0</v>
      </c>
      <c r="V343" s="65">
        <f>COUNTIF(I342:I361,"답")</f>
        <v>0</v>
      </c>
      <c r="W343" s="64" t="s">
        <v>26</v>
      </c>
      <c r="X343" s="64">
        <f>SUMIF(D342:D361,"답",F342:F361)</f>
        <v>0</v>
      </c>
      <c r="Y343" s="65">
        <f>SUMIF(I342:I361,"답",K342:K361)</f>
        <v>0</v>
      </c>
      <c r="Z343" s="10">
        <f>COUNTIF(AJ342:AJ361,"답국")+COUNTIF(AJ342:AJ361,"답공")</f>
        <v>0</v>
      </c>
      <c r="AA343" s="42">
        <f>COUNTIF(AK342:AK361,"답국")+COUNTIF(AK342:AK361,"답공")</f>
        <v>0</v>
      </c>
      <c r="AB343" s="10" t="s">
        <v>26</v>
      </c>
      <c r="AC343" s="10">
        <f>SUMIF(AJ342:AJ361,"답국",F342:F361)+SUMIF(AJ342:AJ361,"답공",F342:F361)</f>
        <v>0</v>
      </c>
      <c r="AD343" s="42">
        <f>SUMIF(AK342:AK361,"답국",K342:K361)+SUMIF(AK342:AK361,"답공",K342:K361)</f>
        <v>0</v>
      </c>
      <c r="AE343" s="64">
        <f t="shared" si="74"/>
        <v>0</v>
      </c>
      <c r="AF343" s="65">
        <f t="shared" si="74"/>
        <v>0</v>
      </c>
      <c r="AG343" s="64" t="s">
        <v>26</v>
      </c>
      <c r="AH343" s="64">
        <f t="shared" si="75"/>
        <v>0</v>
      </c>
      <c r="AI343" s="65">
        <f t="shared" si="75"/>
        <v>0</v>
      </c>
      <c r="AJ343" s="64" t="str">
        <f t="shared" si="76"/>
        <v/>
      </c>
      <c r="AK343" s="64" t="str">
        <f t="shared" si="77"/>
        <v/>
      </c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</row>
    <row r="344" spans="1:60" ht="24" hidden="1" customHeight="1" x14ac:dyDescent="0.15">
      <c r="A344" s="146">
        <v>323</v>
      </c>
      <c r="B344" s="331"/>
      <c r="C344" s="331"/>
      <c r="D344" s="331"/>
      <c r="E344" s="122"/>
      <c r="F344" s="122"/>
      <c r="G344" s="355"/>
      <c r="H344" s="354"/>
      <c r="I344" s="354"/>
      <c r="J344" s="355"/>
      <c r="K344" s="355"/>
      <c r="L344" s="332"/>
      <c r="M344" s="205"/>
      <c r="N344" s="457"/>
      <c r="O344" s="341"/>
      <c r="P344" s="205"/>
      <c r="Q344" s="205"/>
      <c r="R344" s="205"/>
      <c r="S344" s="624"/>
      <c r="T344" s="64" t="s">
        <v>44</v>
      </c>
      <c r="U344" s="64">
        <f>COUNTIF(D342:D361,"임")</f>
        <v>0</v>
      </c>
      <c r="V344" s="65">
        <f>COUNTIF(I342:I361,"임")</f>
        <v>0</v>
      </c>
      <c r="W344" s="64" t="s">
        <v>26</v>
      </c>
      <c r="X344" s="64">
        <f>SUMIF(D342:D361,"임",F342:F361)</f>
        <v>0</v>
      </c>
      <c r="Y344" s="65">
        <f>SUMIF(I342:I361,"임",K342:K361)</f>
        <v>0</v>
      </c>
      <c r="Z344" s="10">
        <f>COUNTIF(AJ342:AJ361,"임국")+COUNTIF(AJ342:AJ361,"임공")</f>
        <v>0</v>
      </c>
      <c r="AA344" s="42">
        <f>COUNTIF(AK342:AK361,"임국")+COUNTIF(AK342:AK361,"임공")</f>
        <v>0</v>
      </c>
      <c r="AB344" s="10" t="s">
        <v>26</v>
      </c>
      <c r="AC344" s="10">
        <f>SUMIF(AJ342:AJ361,"임국",F342:F361)+SUMIF(AJ342:AJ361,"임공",F342:F361)</f>
        <v>0</v>
      </c>
      <c r="AD344" s="42">
        <f>SUMIF(AK342:AK361,"임국",K342:K361)+SUMIF(AK342:AK361,"임공",K342:K361)</f>
        <v>0</v>
      </c>
      <c r="AE344" s="64">
        <f t="shared" si="74"/>
        <v>0</v>
      </c>
      <c r="AF344" s="65">
        <f t="shared" si="74"/>
        <v>0</v>
      </c>
      <c r="AG344" s="64" t="s">
        <v>26</v>
      </c>
      <c r="AH344" s="64">
        <f t="shared" si="75"/>
        <v>0</v>
      </c>
      <c r="AI344" s="65">
        <f t="shared" si="75"/>
        <v>0</v>
      </c>
      <c r="AJ344" s="64" t="str">
        <f t="shared" si="76"/>
        <v/>
      </c>
      <c r="AK344" s="64" t="str">
        <f t="shared" si="77"/>
        <v/>
      </c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</row>
    <row r="345" spans="1:60" ht="24" hidden="1" customHeight="1" x14ac:dyDescent="0.15">
      <c r="A345" s="146">
        <v>324</v>
      </c>
      <c r="B345" s="331"/>
      <c r="C345" s="331"/>
      <c r="D345" s="331"/>
      <c r="E345" s="122"/>
      <c r="F345" s="122"/>
      <c r="G345" s="355"/>
      <c r="H345" s="354"/>
      <c r="I345" s="354"/>
      <c r="J345" s="355"/>
      <c r="K345" s="355"/>
      <c r="L345" s="332"/>
      <c r="M345" s="205"/>
      <c r="N345" s="457"/>
      <c r="O345" s="341"/>
      <c r="P345" s="205"/>
      <c r="Q345" s="205"/>
      <c r="R345" s="205"/>
      <c r="S345" s="276"/>
      <c r="T345" s="64" t="s">
        <v>45</v>
      </c>
      <c r="U345" s="64">
        <f>COUNTIF(D342:D361,"대")</f>
        <v>0</v>
      </c>
      <c r="V345" s="65">
        <f>COUNTIF(I342:I361,"대")</f>
        <v>0</v>
      </c>
      <c r="W345" s="64" t="s">
        <v>26</v>
      </c>
      <c r="X345" s="64">
        <f>SUMIF(D342:D361,"대",F342:F361)</f>
        <v>0</v>
      </c>
      <c r="Y345" s="65">
        <f>SUMIF(I342:I361,"대",K342:K361)</f>
        <v>0</v>
      </c>
      <c r="Z345" s="10">
        <f>COUNTIF(AJ342:AJ361,"대국")+COUNTIF(AJ342:AJ361,"대공")</f>
        <v>0</v>
      </c>
      <c r="AA345" s="42">
        <f>COUNTIF(AK342:AK361,"대국")+COUNTIF(AK342:AK361,"대공")</f>
        <v>0</v>
      </c>
      <c r="AB345" s="10" t="s">
        <v>26</v>
      </c>
      <c r="AC345" s="10">
        <f>SUMIF(AJ342:AJ361,"대국",F342:F361)+SUMIF(AJ342:AJ361,"대공",F342:F361)</f>
        <v>0</v>
      </c>
      <c r="AD345" s="42">
        <f>SUMIF(AK342:AK361,"대국",K342:K361)+SUMIF(AK342:AK361,"대공",K342:K361)</f>
        <v>0</v>
      </c>
      <c r="AE345" s="64">
        <f t="shared" si="74"/>
        <v>0</v>
      </c>
      <c r="AF345" s="65">
        <f t="shared" si="74"/>
        <v>0</v>
      </c>
      <c r="AG345" s="64" t="s">
        <v>26</v>
      </c>
      <c r="AH345" s="64">
        <f t="shared" si="75"/>
        <v>0</v>
      </c>
      <c r="AI345" s="65">
        <f t="shared" si="75"/>
        <v>0</v>
      </c>
      <c r="AJ345" s="64" t="str">
        <f t="shared" si="76"/>
        <v/>
      </c>
      <c r="AK345" s="64" t="str">
        <f t="shared" si="77"/>
        <v/>
      </c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</row>
    <row r="346" spans="1:60" ht="24" hidden="1" customHeight="1" x14ac:dyDescent="0.15">
      <c r="A346" s="146">
        <v>325</v>
      </c>
      <c r="B346" s="331"/>
      <c r="C346" s="331"/>
      <c r="D346" s="331"/>
      <c r="E346" s="122"/>
      <c r="F346" s="122"/>
      <c r="G346" s="355"/>
      <c r="H346" s="354"/>
      <c r="I346" s="354"/>
      <c r="J346" s="355"/>
      <c r="K346" s="355"/>
      <c r="L346" s="332"/>
      <c r="M346" s="205"/>
      <c r="N346" s="457"/>
      <c r="O346" s="341"/>
      <c r="P346" s="205"/>
      <c r="Q346" s="205"/>
      <c r="R346" s="205"/>
      <c r="S346" s="276"/>
      <c r="T346" s="64" t="s">
        <v>31</v>
      </c>
      <c r="U346" s="64">
        <f>COUNTIF(D342:D361,"도")</f>
        <v>0</v>
      </c>
      <c r="V346" s="65">
        <f>COUNTIF(I342:I361,"도")</f>
        <v>0</v>
      </c>
      <c r="W346" s="64" t="s">
        <v>26</v>
      </c>
      <c r="X346" s="64">
        <f>SUMIF(D342:D361,"도",F342:F361)</f>
        <v>0</v>
      </c>
      <c r="Y346" s="65">
        <f>SUMIF(I342:I361,"도",K342:K361)</f>
        <v>0</v>
      </c>
      <c r="Z346" s="10">
        <f>COUNTIF(AJ342:AJ361,"도국")+COUNTIF(AJ342:AJ361,"도공")</f>
        <v>0</v>
      </c>
      <c r="AA346" s="42">
        <f>COUNTIF(AK342:AK361,"도국")+COUNTIF(AK342:AK361,"도공")</f>
        <v>0</v>
      </c>
      <c r="AB346" s="10" t="s">
        <v>26</v>
      </c>
      <c r="AC346" s="10">
        <f>SUMIF(AJ342:AJ361,"도국",F342:F361)+SUMIF(AJ342:AJ361,"도공",F342:F361)</f>
        <v>0</v>
      </c>
      <c r="AD346" s="42">
        <f>SUMIF(AK342:AK361,"도국",K342:K361)+SUMIF(AK342:AK361,"도공",K342:K361)</f>
        <v>0</v>
      </c>
      <c r="AE346" s="64">
        <f t="shared" si="74"/>
        <v>0</v>
      </c>
      <c r="AF346" s="65">
        <f t="shared" si="74"/>
        <v>0</v>
      </c>
      <c r="AG346" s="64" t="s">
        <v>26</v>
      </c>
      <c r="AH346" s="64">
        <f t="shared" si="75"/>
        <v>0</v>
      </c>
      <c r="AI346" s="65">
        <f t="shared" si="75"/>
        <v>0</v>
      </c>
      <c r="AJ346" s="64" t="str">
        <f t="shared" si="76"/>
        <v/>
      </c>
      <c r="AK346" s="64" t="str">
        <f t="shared" si="77"/>
        <v/>
      </c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</row>
    <row r="347" spans="1:60" ht="24" hidden="1" customHeight="1" x14ac:dyDescent="0.15">
      <c r="A347" s="146">
        <v>326</v>
      </c>
      <c r="B347" s="331"/>
      <c r="C347" s="331"/>
      <c r="D347" s="331"/>
      <c r="E347" s="122"/>
      <c r="F347" s="122"/>
      <c r="G347" s="355"/>
      <c r="H347" s="354"/>
      <c r="I347" s="354"/>
      <c r="J347" s="355"/>
      <c r="K347" s="355"/>
      <c r="L347" s="332"/>
      <c r="M347" s="478"/>
      <c r="N347" s="457"/>
      <c r="O347" s="341"/>
      <c r="P347" s="205"/>
      <c r="Q347" s="205"/>
      <c r="R347" s="205"/>
      <c r="S347" s="276"/>
      <c r="T347" s="64" t="s">
        <v>32</v>
      </c>
      <c r="U347" s="68">
        <f>COUNTIF(D342:D361,"천")</f>
        <v>0</v>
      </c>
      <c r="V347" s="69">
        <f>COUNTIF(I342:I361,"천")</f>
        <v>0</v>
      </c>
      <c r="W347" s="64" t="s">
        <v>26</v>
      </c>
      <c r="X347" s="64">
        <f>SUMIF(D342:D361,"천",F342:F361)</f>
        <v>0</v>
      </c>
      <c r="Y347" s="65">
        <f>SUMIF(I342:I361,"천",K342:K361)</f>
        <v>0</v>
      </c>
      <c r="Z347" s="10">
        <f>COUNTIF(AJ342:AJ361,"천국")+COUNTIF(AJ342:AJ361,"천공")</f>
        <v>0</v>
      </c>
      <c r="AA347" s="42">
        <f>COUNTIF(AK342:AK361,"천국")+COUNTIF(AK342:AK361,"천공")</f>
        <v>0</v>
      </c>
      <c r="AB347" s="10" t="s">
        <v>26</v>
      </c>
      <c r="AC347" s="10">
        <f>SUMIF(AJ342:AJ361,"천국",F342:F361)+SUMIF(AJ342:AJ361,"천공",F342:F361)</f>
        <v>0</v>
      </c>
      <c r="AD347" s="42">
        <f>SUMIF(AK342:AK361,"천국",K342:K361)+SUMIF(AK342:AK361,"천공",K342:K361)</f>
        <v>0</v>
      </c>
      <c r="AE347" s="64">
        <f t="shared" si="74"/>
        <v>0</v>
      </c>
      <c r="AF347" s="65">
        <f t="shared" si="74"/>
        <v>0</v>
      </c>
      <c r="AG347" s="64" t="s">
        <v>26</v>
      </c>
      <c r="AH347" s="64">
        <f t="shared" si="75"/>
        <v>0</v>
      </c>
      <c r="AI347" s="65">
        <f t="shared" si="75"/>
        <v>0</v>
      </c>
      <c r="AJ347" s="64" t="str">
        <f t="shared" si="76"/>
        <v/>
      </c>
      <c r="AK347" s="64" t="str">
        <f t="shared" si="77"/>
        <v/>
      </c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</row>
    <row r="348" spans="1:60" ht="24" hidden="1" customHeight="1" x14ac:dyDescent="0.15">
      <c r="A348" s="146">
        <v>327</v>
      </c>
      <c r="B348" s="331"/>
      <c r="C348" s="331"/>
      <c r="D348" s="331"/>
      <c r="E348" s="122"/>
      <c r="F348" s="122"/>
      <c r="G348" s="355"/>
      <c r="H348" s="354"/>
      <c r="I348" s="354"/>
      <c r="J348" s="355"/>
      <c r="K348" s="355"/>
      <c r="L348" s="332"/>
      <c r="M348" s="205"/>
      <c r="N348" s="457"/>
      <c r="O348" s="341"/>
      <c r="P348" s="205"/>
      <c r="Q348" s="205"/>
      <c r="R348" s="205"/>
      <c r="S348" s="276"/>
      <c r="T348" s="64" t="s">
        <v>33</v>
      </c>
      <c r="U348" s="64">
        <f>COUNTIF(D342:D361,"구")</f>
        <v>0</v>
      </c>
      <c r="V348" s="65">
        <f>COUNTIF(I342:I361,"구")</f>
        <v>0</v>
      </c>
      <c r="W348" s="64" t="s">
        <v>26</v>
      </c>
      <c r="X348" s="64">
        <f>SUMIF(D342:D361,"구",F342:F361)</f>
        <v>0</v>
      </c>
      <c r="Y348" s="65">
        <f>SUMIF(I342:I361,"구",K342:K361)</f>
        <v>0</v>
      </c>
      <c r="Z348" s="10">
        <f>COUNTIF(AJ342:AJ361,"구국")+COUNTIF(AJ342:AJ361,"구공")</f>
        <v>0</v>
      </c>
      <c r="AA348" s="42">
        <f>COUNTIF(AK342:AK361,"구국")+COUNTIF(AK342:AK361,"구공")</f>
        <v>0</v>
      </c>
      <c r="AB348" s="10" t="s">
        <v>26</v>
      </c>
      <c r="AC348" s="10">
        <f>SUMIF(AJ342:AJ361,"구국",F342:F361)+SUMIF(AJ342:AJ361,"구공",F342:F361)</f>
        <v>0</v>
      </c>
      <c r="AD348" s="42">
        <f>SUMIF(AK342:AK361,"구국",K342:K361)+SUMIF(AK342:AK361,"구공",K342:K361)</f>
        <v>0</v>
      </c>
      <c r="AE348" s="64">
        <f t="shared" si="74"/>
        <v>0</v>
      </c>
      <c r="AF348" s="65">
        <f t="shared" si="74"/>
        <v>0</v>
      </c>
      <c r="AG348" s="64" t="s">
        <v>26</v>
      </c>
      <c r="AH348" s="64">
        <f t="shared" si="75"/>
        <v>0</v>
      </c>
      <c r="AI348" s="65">
        <f t="shared" si="75"/>
        <v>0</v>
      </c>
      <c r="AJ348" s="64" t="str">
        <f t="shared" si="76"/>
        <v/>
      </c>
      <c r="AK348" s="64" t="str">
        <f t="shared" si="77"/>
        <v/>
      </c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</row>
    <row r="349" spans="1:60" ht="24" hidden="1" customHeight="1" x14ac:dyDescent="0.15">
      <c r="A349" s="146">
        <v>328</v>
      </c>
      <c r="B349" s="331"/>
      <c r="C349" s="331"/>
      <c r="D349" s="331"/>
      <c r="E349" s="122"/>
      <c r="F349" s="122"/>
      <c r="G349" s="355"/>
      <c r="H349" s="354"/>
      <c r="I349" s="354"/>
      <c r="J349" s="355"/>
      <c r="K349" s="355"/>
      <c r="L349" s="332"/>
      <c r="M349" s="205"/>
      <c r="N349" s="457"/>
      <c r="O349" s="341"/>
      <c r="P349" s="205"/>
      <c r="Q349" s="205"/>
      <c r="R349" s="205"/>
      <c r="S349" s="276"/>
      <c r="T349" s="64" t="s">
        <v>34</v>
      </c>
      <c r="U349" s="64">
        <f>COUNTIF(D342:D361,"제")</f>
        <v>0</v>
      </c>
      <c r="V349" s="65">
        <f>COUNTIF(I342:I361,"제")</f>
        <v>0</v>
      </c>
      <c r="W349" s="64" t="s">
        <v>26</v>
      </c>
      <c r="X349" s="64">
        <f>SUMIF(D342:D361,"제",F342:F361)</f>
        <v>0</v>
      </c>
      <c r="Y349" s="65">
        <f>SUMIF(I342:I361,"제",K342:K361)</f>
        <v>0</v>
      </c>
      <c r="Z349" s="10">
        <f>COUNTIF(AJ342:AJ361,"제국")+COUNTIF(AJ342:AJ361,"제공")</f>
        <v>0</v>
      </c>
      <c r="AA349" s="42">
        <f>COUNTIF(AK342:AK361,"제국")+COUNTIF(AK342:AK361,"제공")</f>
        <v>0</v>
      </c>
      <c r="AB349" s="10" t="s">
        <v>26</v>
      </c>
      <c r="AC349" s="10">
        <f>SUMIF(AJ342:AJ361,"제국",F342:F361)+SUMIF(AJ342:AJ361,"제공",F342:F361)</f>
        <v>0</v>
      </c>
      <c r="AD349" s="42">
        <f>SUMIF(AK342:AK361,"제국",K342:K361)+SUMIF(AK342:AK361,"제공",K342:K361)</f>
        <v>0</v>
      </c>
      <c r="AE349" s="64">
        <f t="shared" si="74"/>
        <v>0</v>
      </c>
      <c r="AF349" s="65">
        <f t="shared" si="74"/>
        <v>0</v>
      </c>
      <c r="AG349" s="64" t="s">
        <v>26</v>
      </c>
      <c r="AH349" s="64">
        <f t="shared" si="75"/>
        <v>0</v>
      </c>
      <c r="AI349" s="65">
        <f t="shared" si="75"/>
        <v>0</v>
      </c>
      <c r="AJ349" s="64" t="str">
        <f t="shared" si="76"/>
        <v/>
      </c>
      <c r="AK349" s="64" t="str">
        <f t="shared" si="77"/>
        <v/>
      </c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</row>
    <row r="350" spans="1:60" ht="24" hidden="1" customHeight="1" x14ac:dyDescent="0.15">
      <c r="A350" s="146">
        <v>329</v>
      </c>
      <c r="B350" s="331"/>
      <c r="C350" s="331"/>
      <c r="D350" s="331"/>
      <c r="E350" s="122"/>
      <c r="F350" s="122"/>
      <c r="G350" s="355"/>
      <c r="H350" s="354"/>
      <c r="I350" s="354"/>
      <c r="J350" s="355"/>
      <c r="K350" s="355"/>
      <c r="L350" s="332"/>
      <c r="M350" s="205"/>
      <c r="N350" s="457"/>
      <c r="O350" s="341"/>
      <c r="P350" s="205"/>
      <c r="Q350" s="205"/>
      <c r="R350" s="205"/>
      <c r="S350" s="276"/>
      <c r="T350" s="64" t="s">
        <v>46</v>
      </c>
      <c r="U350" s="64">
        <f>COUNTIF(D342:D361,"유")</f>
        <v>0</v>
      </c>
      <c r="V350" s="65">
        <f>COUNTIF(I342:I361,"유")</f>
        <v>0</v>
      </c>
      <c r="W350" s="64" t="s">
        <v>26</v>
      </c>
      <c r="X350" s="64">
        <f>SUMIF(D342:D361,"유",F342:F361)</f>
        <v>0</v>
      </c>
      <c r="Y350" s="65">
        <f>SUMIF(I342:I361,"유",K342:K361)</f>
        <v>0</v>
      </c>
      <c r="Z350" s="10">
        <f>COUNTIF(AJ342:AJ361,"유국")+COUNTIF(AJ342:AJ361,"유공")</f>
        <v>0</v>
      </c>
      <c r="AA350" s="42">
        <f>COUNTIF(AK342:AK361,"유국")+COUNTIF(AK342:AK361,"유공")</f>
        <v>0</v>
      </c>
      <c r="AB350" s="10" t="s">
        <v>26</v>
      </c>
      <c r="AC350" s="10">
        <f>SUMIF(AJ342:AJ361,"유국",F342:F361)+SUMIF(AJ342:AJ361,"유공",F342:F361)</f>
        <v>0</v>
      </c>
      <c r="AD350" s="42">
        <f>SUMIF(AK342:AK361,"유국",K342:K361)+SUMIF(AK342:AK361,"유공",K342:K361)</f>
        <v>0</v>
      </c>
      <c r="AE350" s="64">
        <f t="shared" si="74"/>
        <v>0</v>
      </c>
      <c r="AF350" s="65">
        <f t="shared" si="74"/>
        <v>0</v>
      </c>
      <c r="AG350" s="64" t="s">
        <v>26</v>
      </c>
      <c r="AH350" s="64">
        <f t="shared" si="75"/>
        <v>0</v>
      </c>
      <c r="AI350" s="65">
        <f t="shared" si="75"/>
        <v>0</v>
      </c>
      <c r="AJ350" s="64" t="str">
        <f t="shared" si="76"/>
        <v/>
      </c>
      <c r="AK350" s="64" t="str">
        <f t="shared" si="77"/>
        <v/>
      </c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</row>
    <row r="351" spans="1:60" ht="24" hidden="1" customHeight="1" x14ac:dyDescent="0.15">
      <c r="A351" s="146">
        <v>330</v>
      </c>
      <c r="B351" s="331"/>
      <c r="C351" s="331"/>
      <c r="D351" s="331"/>
      <c r="E351" s="122"/>
      <c r="F351" s="122"/>
      <c r="G351" s="355"/>
      <c r="H351" s="354"/>
      <c r="I351" s="354"/>
      <c r="J351" s="355"/>
      <c r="K351" s="355"/>
      <c r="L351" s="332"/>
      <c r="M351" s="205"/>
      <c r="N351" s="457"/>
      <c r="O351" s="341"/>
      <c r="P351" s="205"/>
      <c r="Q351" s="205"/>
      <c r="R351" s="205"/>
      <c r="S351" s="276"/>
      <c r="T351" s="64" t="s">
        <v>47</v>
      </c>
      <c r="U351" s="64">
        <f>COUNTIF(D342:D361,"과")</f>
        <v>0</v>
      </c>
      <c r="V351" s="65">
        <f>COUNTIF(I342:I361,"과")</f>
        <v>0</v>
      </c>
      <c r="W351" s="64" t="s">
        <v>26</v>
      </c>
      <c r="X351" s="64">
        <f>SUMIF(D342:D361,"과",F342:F361)</f>
        <v>0</v>
      </c>
      <c r="Y351" s="65">
        <f>SUMIF(I342:I361,"과",K342:K361)</f>
        <v>0</v>
      </c>
      <c r="Z351" s="10">
        <f>COUNTIF(AJ342:AJ361,"과국")+COUNTIF(AJ342:AJ361,"과공")</f>
        <v>0</v>
      </c>
      <c r="AA351" s="42">
        <f>COUNTIF(AK342:AK361,"과국")+COUNTIF(AK342:AK361,"과공")</f>
        <v>0</v>
      </c>
      <c r="AB351" s="10" t="s">
        <v>26</v>
      </c>
      <c r="AC351" s="10">
        <f>SUMIF(AJ342:AJ361,"과국",F342:F361)+SUMIF(AJ342:AJ361,"과공",F342:F361)</f>
        <v>0</v>
      </c>
      <c r="AD351" s="42">
        <f>SUMIF(AK342:AK361,"과국",K342:K361)+SUMIF(AK342:AK361,"과공",K342:K361)</f>
        <v>0</v>
      </c>
      <c r="AE351" s="64">
        <f t="shared" si="74"/>
        <v>0</v>
      </c>
      <c r="AF351" s="65">
        <f t="shared" si="74"/>
        <v>0</v>
      </c>
      <c r="AG351" s="64" t="s">
        <v>26</v>
      </c>
      <c r="AH351" s="64">
        <f t="shared" si="75"/>
        <v>0</v>
      </c>
      <c r="AI351" s="65">
        <f t="shared" si="75"/>
        <v>0</v>
      </c>
      <c r="AJ351" s="64" t="str">
        <f t="shared" si="76"/>
        <v/>
      </c>
      <c r="AK351" s="64" t="str">
        <f t="shared" si="77"/>
        <v/>
      </c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</row>
    <row r="352" spans="1:60" ht="24" hidden="1" customHeight="1" x14ac:dyDescent="0.15">
      <c r="A352" s="146">
        <v>331</v>
      </c>
      <c r="B352" s="331"/>
      <c r="C352" s="331"/>
      <c r="D352" s="331"/>
      <c r="E352" s="122"/>
      <c r="F352" s="122"/>
      <c r="G352" s="355"/>
      <c r="H352" s="354"/>
      <c r="I352" s="354"/>
      <c r="J352" s="355"/>
      <c r="K352" s="355"/>
      <c r="L352" s="332"/>
      <c r="M352" s="205"/>
      <c r="N352" s="457"/>
      <c r="O352" s="341"/>
      <c r="P352" s="205"/>
      <c r="Q352" s="205"/>
      <c r="R352" s="205"/>
      <c r="S352" s="276"/>
      <c r="T352" s="64" t="s">
        <v>36</v>
      </c>
      <c r="U352" s="64">
        <f>COUNTIF(D342:D361,"묘")</f>
        <v>0</v>
      </c>
      <c r="V352" s="65">
        <f>COUNTIF(I342:I361,"묘")</f>
        <v>0</v>
      </c>
      <c r="W352" s="64" t="s">
        <v>26</v>
      </c>
      <c r="X352" s="64">
        <f>SUMIF(D342:D361,"묘",F342:F361)</f>
        <v>0</v>
      </c>
      <c r="Y352" s="65">
        <f>SUMIF(I342:I361,"묘",K342:K361)</f>
        <v>0</v>
      </c>
      <c r="Z352" s="10">
        <f>COUNTIF(AJ342:AJ361,"묘국")+COUNTIF(AJ342:AJ361,"묘공")</f>
        <v>0</v>
      </c>
      <c r="AA352" s="42">
        <f>COUNTIF(AK342:AK361,"묘국")+COUNTIF(AK342:AK361,"묘공")</f>
        <v>0</v>
      </c>
      <c r="AB352" s="10" t="s">
        <v>26</v>
      </c>
      <c r="AC352" s="10">
        <f>SUMIF(AJ342:AJ361,"묘국",F342:F361)+SUMIF(AJ342:AJ361,"묘공",F342:F361)</f>
        <v>0</v>
      </c>
      <c r="AD352" s="42">
        <f>SUMIF(AK342:AK361,"묘국",K342:K361)+SUMIF(AK342:AK361,"묘공",K342:K361)</f>
        <v>0</v>
      </c>
      <c r="AE352" s="64">
        <f t="shared" si="74"/>
        <v>0</v>
      </c>
      <c r="AF352" s="65">
        <f t="shared" si="74"/>
        <v>0</v>
      </c>
      <c r="AG352" s="64" t="s">
        <v>26</v>
      </c>
      <c r="AH352" s="64">
        <f t="shared" si="75"/>
        <v>0</v>
      </c>
      <c r="AI352" s="65">
        <f t="shared" si="75"/>
        <v>0</v>
      </c>
      <c r="AJ352" s="64" t="str">
        <f t="shared" si="76"/>
        <v/>
      </c>
      <c r="AK352" s="64" t="str">
        <f t="shared" si="77"/>
        <v/>
      </c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</row>
    <row r="353" spans="1:60" ht="24" hidden="1" customHeight="1" x14ac:dyDescent="0.15">
      <c r="A353" s="146">
        <v>332</v>
      </c>
      <c r="B353" s="331"/>
      <c r="C353" s="331"/>
      <c r="D353" s="331"/>
      <c r="E353" s="122"/>
      <c r="F353" s="122"/>
      <c r="G353" s="355"/>
      <c r="H353" s="354"/>
      <c r="I353" s="354"/>
      <c r="J353" s="355"/>
      <c r="K353" s="355"/>
      <c r="L353" s="332"/>
      <c r="M353" s="205"/>
      <c r="N353" s="457"/>
      <c r="O353" s="341"/>
      <c r="P353" s="13"/>
      <c r="Q353" s="205"/>
      <c r="R353" s="13"/>
      <c r="S353" s="276"/>
      <c r="T353" s="64" t="s">
        <v>39</v>
      </c>
      <c r="U353" s="64">
        <f>COUNTIF(D342:D361,"수")</f>
        <v>0</v>
      </c>
      <c r="V353" s="65">
        <f>COUNTIF(I342:I361,"수")</f>
        <v>0</v>
      </c>
      <c r="W353" s="64" t="s">
        <v>26</v>
      </c>
      <c r="X353" s="64">
        <f>SUMIF(D342:D361,"수",F342:F361)</f>
        <v>0</v>
      </c>
      <c r="Y353" s="65">
        <f>SUMIF(I342:I361,"수",K342:K361)</f>
        <v>0</v>
      </c>
      <c r="Z353" s="10">
        <f>COUNTIF(AJ342:AJ361,"수국")+COUNTIF(AJ342:AJ361,"수공")</f>
        <v>0</v>
      </c>
      <c r="AA353" s="42">
        <f>COUNTIF(AK342:AK361,"수국")+COUNTIF(AK342:AK361,"수공")</f>
        <v>0</v>
      </c>
      <c r="AB353" s="10" t="s">
        <v>26</v>
      </c>
      <c r="AC353" s="10">
        <f>SUMIF(AJ342:AJ361,"수국",F342:F361)+SUMIF(AJ342:AJ361,"수공",F342:F361)</f>
        <v>0</v>
      </c>
      <c r="AD353" s="42">
        <f>SUMIF(AK342:AK361,"수국",K342:K361)+SUMIF(AK342:AK361,"수공",K342:K361)</f>
        <v>0</v>
      </c>
      <c r="AE353" s="64">
        <f t="shared" si="74"/>
        <v>0</v>
      </c>
      <c r="AF353" s="65">
        <f t="shared" si="74"/>
        <v>0</v>
      </c>
      <c r="AG353" s="64" t="s">
        <v>26</v>
      </c>
      <c r="AH353" s="64">
        <f t="shared" si="75"/>
        <v>0</v>
      </c>
      <c r="AI353" s="65">
        <f t="shared" si="75"/>
        <v>0</v>
      </c>
      <c r="AJ353" s="64" t="str">
        <f t="shared" si="76"/>
        <v/>
      </c>
      <c r="AK353" s="64" t="str">
        <f t="shared" si="77"/>
        <v/>
      </c>
    </row>
    <row r="354" spans="1:60" ht="24" hidden="1" customHeight="1" x14ac:dyDescent="0.15">
      <c r="A354" s="146">
        <v>333</v>
      </c>
      <c r="B354" s="331"/>
      <c r="C354" s="331"/>
      <c r="D354" s="331"/>
      <c r="E354" s="122"/>
      <c r="F354" s="122"/>
      <c r="G354" s="355"/>
      <c r="H354" s="354"/>
      <c r="I354" s="354"/>
      <c r="J354" s="355"/>
      <c r="K354" s="355"/>
      <c r="L354" s="332"/>
      <c r="M354" s="205"/>
      <c r="N354" s="457"/>
      <c r="O354" s="341"/>
      <c r="P354" s="13"/>
      <c r="Q354" s="205"/>
      <c r="R354" s="13"/>
      <c r="S354" s="276"/>
      <c r="T354" s="64" t="s">
        <v>35</v>
      </c>
      <c r="U354" s="64">
        <f>COUNTIF(D342:D361,"잡")</f>
        <v>0</v>
      </c>
      <c r="V354" s="65">
        <f>COUNTIF(I342:I361,"잡")</f>
        <v>0</v>
      </c>
      <c r="W354" s="64" t="s">
        <v>26</v>
      </c>
      <c r="X354" s="64">
        <f>SUMIF(D342:D361,"잡",F342:F361)</f>
        <v>0</v>
      </c>
      <c r="Y354" s="65">
        <f>SUMIF(I342:I361,"잡",K342:K361)</f>
        <v>0</v>
      </c>
      <c r="Z354" s="10">
        <f>COUNTIF(AJ342:AJ361,"잡국")+COUNTIF(AJ342:AJ361,"잡공")</f>
        <v>0</v>
      </c>
      <c r="AA354" s="42">
        <f>COUNTIF(AK342:AK361,"잡국")+COUNTIF(AK342:AK361,"잡공")</f>
        <v>0</v>
      </c>
      <c r="AB354" s="10" t="s">
        <v>26</v>
      </c>
      <c r="AC354" s="10">
        <f>SUMIF(AJ342:AJ361,"잡국",F342:F361)+SUMIF(AJ342:AJ361,"잡공",F342:F361)</f>
        <v>0</v>
      </c>
      <c r="AD354" s="42">
        <f>SUMIF(AK342:AK361,"잡국",K342:K361)+SUMIF(AK342:AK361,"잡공",K342:K361)</f>
        <v>0</v>
      </c>
      <c r="AE354" s="64">
        <f t="shared" si="74"/>
        <v>0</v>
      </c>
      <c r="AF354" s="65">
        <f t="shared" si="74"/>
        <v>0</v>
      </c>
      <c r="AG354" s="64" t="s">
        <v>26</v>
      </c>
      <c r="AH354" s="64">
        <f t="shared" si="75"/>
        <v>0</v>
      </c>
      <c r="AI354" s="65">
        <f t="shared" si="75"/>
        <v>0</v>
      </c>
      <c r="AJ354" s="64" t="str">
        <f t="shared" si="76"/>
        <v/>
      </c>
      <c r="AK354" s="64" t="str">
        <f t="shared" si="77"/>
        <v/>
      </c>
    </row>
    <row r="355" spans="1:60" ht="24" hidden="1" customHeight="1" x14ac:dyDescent="0.15">
      <c r="A355" s="146">
        <v>334</v>
      </c>
      <c r="B355" s="331"/>
      <c r="C355" s="331"/>
      <c r="D355" s="331"/>
      <c r="E355" s="122"/>
      <c r="F355" s="122"/>
      <c r="G355" s="355"/>
      <c r="H355" s="354"/>
      <c r="I355" s="354"/>
      <c r="J355" s="355"/>
      <c r="K355" s="355"/>
      <c r="L355" s="332"/>
      <c r="M355" s="205"/>
      <c r="N355" s="457"/>
      <c r="O355" s="341"/>
      <c r="P355" s="13"/>
      <c r="Q355" s="205"/>
      <c r="R355" s="13"/>
      <c r="S355" s="276"/>
      <c r="T355" s="64" t="s">
        <v>51</v>
      </c>
      <c r="U355" s="64">
        <f>COUNTIF(D342:D361,"체")</f>
        <v>0</v>
      </c>
      <c r="V355" s="65">
        <f>COUNTIF(I342:I361,"체")</f>
        <v>0</v>
      </c>
      <c r="W355" s="64" t="s">
        <v>26</v>
      </c>
      <c r="X355" s="64">
        <f>SUMIF(D342:D361,"체",F342:F361)</f>
        <v>0</v>
      </c>
      <c r="Y355" s="65">
        <f>SUMIF(I342:I361,"체",K342:K361)</f>
        <v>0</v>
      </c>
      <c r="Z355" s="10">
        <f>COUNTIF(AJ342:AJ361,"체국")+COUNTIF(AJ342:AJ361,"체공")</f>
        <v>0</v>
      </c>
      <c r="AA355" s="42">
        <f>COUNTIF(AK342:AK361,"체국")+COUNTIF(AK342:AK361,"체공")</f>
        <v>0</v>
      </c>
      <c r="AB355" s="10" t="s">
        <v>26</v>
      </c>
      <c r="AC355" s="10">
        <f>SUMIF(AJ342:AJ361,"체국",F342:F361)+SUMIF(AJ342:AJ361,"체공",F342:F361)</f>
        <v>0</v>
      </c>
      <c r="AD355" s="42">
        <f>SUMIF(AK342:AK361,"체국",K342:K361)+SUMIF(AK342:AK361,"체공",K342:K361)</f>
        <v>0</v>
      </c>
      <c r="AE355" s="64">
        <f t="shared" si="74"/>
        <v>0</v>
      </c>
      <c r="AF355" s="65">
        <f t="shared" si="74"/>
        <v>0</v>
      </c>
      <c r="AG355" s="64" t="s">
        <v>26</v>
      </c>
      <c r="AH355" s="64">
        <f t="shared" si="75"/>
        <v>0</v>
      </c>
      <c r="AI355" s="65">
        <f t="shared" si="75"/>
        <v>0</v>
      </c>
      <c r="AJ355" s="64" t="str">
        <f t="shared" si="76"/>
        <v/>
      </c>
      <c r="AK355" s="64" t="str">
        <f t="shared" si="77"/>
        <v/>
      </c>
    </row>
    <row r="356" spans="1:60" ht="24" hidden="1" customHeight="1" x14ac:dyDescent="0.15">
      <c r="A356" s="146">
        <v>335</v>
      </c>
      <c r="B356" s="331"/>
      <c r="C356" s="331"/>
      <c r="D356" s="331"/>
      <c r="E356" s="122"/>
      <c r="F356" s="122"/>
      <c r="G356" s="355"/>
      <c r="H356" s="354"/>
      <c r="I356" s="354"/>
      <c r="J356" s="355"/>
      <c r="K356" s="355"/>
      <c r="L356" s="332"/>
      <c r="M356" s="205"/>
      <c r="N356" s="457"/>
      <c r="O356" s="341"/>
      <c r="P356" s="13"/>
      <c r="Q356" s="205"/>
      <c r="R356" s="13"/>
      <c r="S356" s="276"/>
      <c r="T356" s="64" t="s">
        <v>50</v>
      </c>
      <c r="U356" s="64">
        <f>COUNTIF(D342:D361,"공")</f>
        <v>0</v>
      </c>
      <c r="V356" s="65">
        <f>COUNTIF(I342:I361,"공")</f>
        <v>0</v>
      </c>
      <c r="W356" s="64" t="s">
        <v>26</v>
      </c>
      <c r="X356" s="64">
        <f>SUMIF(D342:D361,"공",F342:F361)</f>
        <v>0</v>
      </c>
      <c r="Y356" s="65">
        <f>SUMIF(I342:I361,"공",K342:K361)</f>
        <v>0</v>
      </c>
      <c r="Z356" s="10">
        <f>COUNTIF(AJ342:AJ361,"공국")+COUNTIF(AJ342:AJ361,"공공")</f>
        <v>0</v>
      </c>
      <c r="AA356" s="42">
        <f>COUNTIF(AK342:AK361,"공국")+COUNTIF(AK342:AK361,"공공")</f>
        <v>0</v>
      </c>
      <c r="AB356" s="10" t="s">
        <v>26</v>
      </c>
      <c r="AC356" s="10">
        <f>SUMIF(AJ342:AJ361,"공국",F342:F361)+SUMIF(AJ342:AJ361,"공공",F342:F361)</f>
        <v>0</v>
      </c>
      <c r="AD356" s="42">
        <f>SUMIF(AK342:AK361,"공국",K342:K361)+SUMIF(AK342:AK361,"공공",K342:K361)</f>
        <v>0</v>
      </c>
      <c r="AE356" s="64">
        <f t="shared" si="74"/>
        <v>0</v>
      </c>
      <c r="AF356" s="65">
        <f t="shared" si="74"/>
        <v>0</v>
      </c>
      <c r="AG356" s="64" t="s">
        <v>26</v>
      </c>
      <c r="AH356" s="64">
        <f t="shared" si="75"/>
        <v>0</v>
      </c>
      <c r="AI356" s="65">
        <f t="shared" si="75"/>
        <v>0</v>
      </c>
      <c r="AJ356" s="64" t="str">
        <f t="shared" si="76"/>
        <v/>
      </c>
      <c r="AK356" s="64" t="str">
        <f t="shared" si="77"/>
        <v/>
      </c>
    </row>
    <row r="357" spans="1:60" ht="24" hidden="1" customHeight="1" x14ac:dyDescent="0.15">
      <c r="A357" s="146">
        <v>336</v>
      </c>
      <c r="B357" s="331"/>
      <c r="C357" s="331"/>
      <c r="D357" s="331"/>
      <c r="E357" s="122"/>
      <c r="F357" s="122"/>
      <c r="G357" s="355"/>
      <c r="H357" s="354"/>
      <c r="I357" s="354"/>
      <c r="J357" s="355"/>
      <c r="K357" s="355"/>
      <c r="L357" s="332"/>
      <c r="M357" s="205"/>
      <c r="N357" s="457"/>
      <c r="O357" s="341"/>
      <c r="P357" s="13"/>
      <c r="Q357" s="205"/>
      <c r="R357" s="13"/>
      <c r="S357" s="276"/>
      <c r="T357" s="70" t="s">
        <v>40</v>
      </c>
      <c r="U357" s="64">
        <f>COUNTIF(D342:D361,"장")</f>
        <v>0</v>
      </c>
      <c r="V357" s="65">
        <f>COUNTIF(I342:I361,"장")</f>
        <v>0</v>
      </c>
      <c r="W357" s="64" t="s">
        <v>26</v>
      </c>
      <c r="X357" s="64">
        <f>SUMIF(D342:D361,"장",F342:F361)</f>
        <v>0</v>
      </c>
      <c r="Y357" s="65">
        <f>SUMIF(I342:I361,"장",K342:K361)</f>
        <v>0</v>
      </c>
      <c r="Z357" s="10">
        <f>COUNTIF(AJ342:AJ361,"장국")+COUNTIF(AJ342:AJ361,"장공")</f>
        <v>0</v>
      </c>
      <c r="AA357" s="42">
        <f>COUNTIF(AK342:AK361,"장국")+COUNTIF(AK342:AK361,"장공")</f>
        <v>0</v>
      </c>
      <c r="AB357" s="10" t="s">
        <v>26</v>
      </c>
      <c r="AC357" s="10">
        <f>SUMIF(AJ342:AJ361,"장국",F342:F361)+SUMIF(AJ342:AJ361,"장공",F342:F361)</f>
        <v>0</v>
      </c>
      <c r="AD357" s="42">
        <f>SUMIF(AK342:AK361,"장국",K342:K361)+SUMIF(AK342:AK361,"장공",K342:K361)</f>
        <v>0</v>
      </c>
      <c r="AE357" s="64">
        <f t="shared" si="74"/>
        <v>0</v>
      </c>
      <c r="AF357" s="65">
        <f t="shared" si="74"/>
        <v>0</v>
      </c>
      <c r="AG357" s="64" t="s">
        <v>26</v>
      </c>
      <c r="AH357" s="64">
        <f t="shared" si="75"/>
        <v>0</v>
      </c>
      <c r="AI357" s="65">
        <f t="shared" si="75"/>
        <v>0</v>
      </c>
      <c r="AJ357" s="64" t="str">
        <f t="shared" si="76"/>
        <v/>
      </c>
      <c r="AK357" s="64" t="str">
        <f t="shared" si="77"/>
        <v/>
      </c>
    </row>
    <row r="358" spans="1:60" ht="24" hidden="1" customHeight="1" x14ac:dyDescent="0.15">
      <c r="A358" s="146">
        <v>337</v>
      </c>
      <c r="B358" s="331"/>
      <c r="C358" s="331"/>
      <c r="D358" s="331"/>
      <c r="E358" s="122"/>
      <c r="F358" s="122"/>
      <c r="G358" s="355"/>
      <c r="H358" s="354"/>
      <c r="I358" s="354"/>
      <c r="J358" s="355"/>
      <c r="K358" s="355"/>
      <c r="L358" s="332"/>
      <c r="M358" s="205"/>
      <c r="N358" s="457"/>
      <c r="O358" s="341"/>
      <c r="P358" s="13"/>
      <c r="Q358" s="205"/>
      <c r="R358" s="13"/>
      <c r="S358" s="276"/>
      <c r="T358" s="70" t="s">
        <v>5</v>
      </c>
      <c r="U358" s="64">
        <f>COUNTIF(D342:D361,"목")</f>
        <v>0</v>
      </c>
      <c r="V358" s="65">
        <f>COUNTIF(I342:I361,"목")</f>
        <v>0</v>
      </c>
      <c r="W358" s="64" t="s">
        <v>26</v>
      </c>
      <c r="X358" s="64">
        <f>SUMIF(D342:D361,"목",F342:F361)</f>
        <v>0</v>
      </c>
      <c r="Y358" s="65">
        <f>SUMIF(I342:I361,"목",K342:K361)</f>
        <v>0</v>
      </c>
      <c r="Z358" s="10">
        <f>COUNTIF(AJ342:AJ361,"목국")+COUNTIF(AJ342:AJ361,"목공")</f>
        <v>0</v>
      </c>
      <c r="AA358" s="42">
        <f>COUNTIF(AK342:AK361,"목국")+COUNTIF(AK342:AK361,"목공")</f>
        <v>0</v>
      </c>
      <c r="AB358" s="10" t="s">
        <v>26</v>
      </c>
      <c r="AC358" s="10">
        <f>SUMIF(AJ342:AJ361,"목국",F342:F361)+SUMIF(AJ342:AJ361,"목공",F342:F361)</f>
        <v>0</v>
      </c>
      <c r="AD358" s="42">
        <f>SUMIF(AK342:AK361,"목국",K342:K361)+SUMIF(AK342:AK361,"목공",K342:K361)</f>
        <v>0</v>
      </c>
      <c r="AE358" s="64">
        <f t="shared" si="74"/>
        <v>0</v>
      </c>
      <c r="AF358" s="65">
        <f t="shared" si="74"/>
        <v>0</v>
      </c>
      <c r="AG358" s="64" t="s">
        <v>26</v>
      </c>
      <c r="AH358" s="64">
        <f t="shared" si="75"/>
        <v>0</v>
      </c>
      <c r="AI358" s="65">
        <f t="shared" si="75"/>
        <v>0</v>
      </c>
      <c r="AJ358" s="64" t="str">
        <f t="shared" si="76"/>
        <v/>
      </c>
      <c r="AK358" s="64" t="str">
        <f t="shared" si="77"/>
        <v/>
      </c>
    </row>
    <row r="359" spans="1:60" ht="24" hidden="1" customHeight="1" x14ac:dyDescent="0.15">
      <c r="A359" s="146">
        <v>338</v>
      </c>
      <c r="B359" s="331"/>
      <c r="C359" s="331"/>
      <c r="D359" s="331"/>
      <c r="E359" s="122"/>
      <c r="F359" s="122"/>
      <c r="G359" s="355"/>
      <c r="H359" s="354"/>
      <c r="I359" s="354"/>
      <c r="J359" s="355"/>
      <c r="K359" s="355"/>
      <c r="L359" s="332"/>
      <c r="M359" s="205"/>
      <c r="N359" s="457"/>
      <c r="O359" s="341"/>
      <c r="P359" s="13"/>
      <c r="Q359" s="205"/>
      <c r="R359" s="13"/>
      <c r="S359" s="276"/>
      <c r="T359" s="70"/>
      <c r="U359" s="70"/>
      <c r="V359" s="71"/>
      <c r="W359" s="70"/>
      <c r="X359" s="70"/>
      <c r="Y359" s="71"/>
      <c r="Z359" s="10"/>
      <c r="AA359" s="42"/>
      <c r="AB359" s="11"/>
      <c r="AC359" s="10"/>
      <c r="AD359" s="42"/>
      <c r="AE359" s="70"/>
      <c r="AF359" s="71"/>
      <c r="AG359" s="70"/>
      <c r="AH359" s="70"/>
      <c r="AI359" s="71"/>
      <c r="AJ359" s="64" t="str">
        <f t="shared" si="76"/>
        <v/>
      </c>
      <c r="AK359" s="64" t="str">
        <f t="shared" si="77"/>
        <v/>
      </c>
    </row>
    <row r="360" spans="1:60" ht="24" hidden="1" customHeight="1" x14ac:dyDescent="0.15">
      <c r="A360" s="146">
        <v>339</v>
      </c>
      <c r="B360" s="331"/>
      <c r="C360" s="331"/>
      <c r="D360" s="331"/>
      <c r="E360" s="122"/>
      <c r="F360" s="122"/>
      <c r="G360" s="355"/>
      <c r="H360" s="354"/>
      <c r="I360" s="354"/>
      <c r="J360" s="355"/>
      <c r="K360" s="355"/>
      <c r="L360" s="332"/>
      <c r="M360" s="205"/>
      <c r="N360" s="457"/>
      <c r="O360" s="341"/>
      <c r="P360" s="13"/>
      <c r="Q360" s="13"/>
      <c r="R360" s="13"/>
      <c r="S360" s="276"/>
      <c r="T360" s="70"/>
      <c r="U360" s="70"/>
      <c r="V360" s="71"/>
      <c r="W360" s="70"/>
      <c r="X360" s="70"/>
      <c r="Y360" s="71"/>
      <c r="Z360" s="10"/>
      <c r="AA360" s="42"/>
      <c r="AB360" s="11"/>
      <c r="AC360" s="10"/>
      <c r="AD360" s="42"/>
      <c r="AE360" s="70"/>
      <c r="AF360" s="71"/>
      <c r="AG360" s="70"/>
      <c r="AH360" s="70"/>
      <c r="AI360" s="71"/>
      <c r="AJ360" s="64" t="str">
        <f t="shared" si="76"/>
        <v/>
      </c>
      <c r="AK360" s="64" t="str">
        <f t="shared" si="77"/>
        <v/>
      </c>
    </row>
    <row r="361" spans="1:60" ht="24" hidden="1" customHeight="1" x14ac:dyDescent="0.15">
      <c r="A361" s="146">
        <v>340</v>
      </c>
      <c r="B361" s="331"/>
      <c r="C361" s="331"/>
      <c r="D361" s="331"/>
      <c r="E361" s="122"/>
      <c r="F361" s="122"/>
      <c r="G361" s="355"/>
      <c r="H361" s="354"/>
      <c r="I361" s="354"/>
      <c r="J361" s="355"/>
      <c r="K361" s="355"/>
      <c r="L361" s="332"/>
      <c r="M361" s="205"/>
      <c r="N361" s="457"/>
      <c r="O361" s="341"/>
      <c r="P361" s="13"/>
      <c r="Q361" s="13"/>
      <c r="R361" s="13"/>
      <c r="S361" s="276"/>
      <c r="T361" s="72" t="s">
        <v>37</v>
      </c>
      <c r="U361" s="72">
        <f>COUNTIF(D342:D361,"철")</f>
        <v>0</v>
      </c>
      <c r="V361" s="73">
        <f>COUNTIF(I342:I361,"철")</f>
        <v>0</v>
      </c>
      <c r="W361" s="72" t="s">
        <v>26</v>
      </c>
      <c r="X361" s="72">
        <f>SUMIF(D342:D361,"철",F342:F361)</f>
        <v>0</v>
      </c>
      <c r="Y361" s="73">
        <f>SUMIF(I342:I361,"철",K342:K361)</f>
        <v>0</v>
      </c>
      <c r="Z361" s="10">
        <f>COUNTIF(AJ342:AJ361,"철국")+COUNTIF(AJ342:AJ361,"철공")</f>
        <v>0</v>
      </c>
      <c r="AA361" s="42">
        <f>COUNTIF(AK342:AK361,"철국")+COUNTIF(AK342:AK361,"철공")</f>
        <v>0</v>
      </c>
      <c r="AB361" s="12" t="s">
        <v>26</v>
      </c>
      <c r="AC361" s="10">
        <f>SUMIF(AJ342:AJ361,"철국",F342:F361)+SUMIF(AJ342:AJ361,"철공",F342:F361)</f>
        <v>0</v>
      </c>
      <c r="AD361" s="42">
        <f>SUMIF(AK342:AK361,"철국",K342:K361)+SUMIF(AK342:AK361,"철공",K342:K361)</f>
        <v>0</v>
      </c>
      <c r="AE361" s="72"/>
      <c r="AF361" s="73"/>
      <c r="AG361" s="72"/>
      <c r="AH361" s="72"/>
      <c r="AI361" s="73"/>
      <c r="AJ361" s="64" t="str">
        <f t="shared" si="76"/>
        <v/>
      </c>
      <c r="AK361" s="64" t="str">
        <f t="shared" si="77"/>
        <v/>
      </c>
    </row>
    <row r="362" spans="1:60" ht="24" hidden="1" customHeight="1" thickBot="1" x14ac:dyDescent="0.2">
      <c r="A362" s="1109" t="s">
        <v>48</v>
      </c>
      <c r="B362" s="1110"/>
      <c r="C362" s="1110"/>
      <c r="D362" s="1110"/>
      <c r="E362" s="1111"/>
      <c r="F362" s="149">
        <f>SUM(F342:F361)</f>
        <v>0</v>
      </c>
      <c r="G362" s="542"/>
      <c r="H362" s="543"/>
      <c r="I362" s="543"/>
      <c r="J362" s="542"/>
      <c r="K362" s="544">
        <f>SUM(K342:K361)</f>
        <v>0</v>
      </c>
      <c r="L362" s="545"/>
      <c r="M362" s="546"/>
      <c r="N362" s="547"/>
      <c r="O362" s="548"/>
      <c r="P362" s="564"/>
      <c r="Q362" s="564"/>
      <c r="R362" s="564"/>
      <c r="S362" s="15"/>
      <c r="T362" s="62" t="s">
        <v>24</v>
      </c>
      <c r="U362" s="63">
        <f t="shared" ref="U362:AA362" si="78">SUM(U342:U361)</f>
        <v>0</v>
      </c>
      <c r="V362" s="63">
        <f t="shared" si="78"/>
        <v>0</v>
      </c>
      <c r="W362" s="63">
        <f t="shared" si="78"/>
        <v>0</v>
      </c>
      <c r="X362" s="63">
        <f t="shared" si="78"/>
        <v>0</v>
      </c>
      <c r="Y362" s="63">
        <f t="shared" si="78"/>
        <v>0</v>
      </c>
      <c r="Z362" s="37">
        <f t="shared" si="78"/>
        <v>0</v>
      </c>
      <c r="AA362" s="43">
        <f t="shared" si="78"/>
        <v>0</v>
      </c>
      <c r="AB362" s="37" t="s">
        <v>26</v>
      </c>
      <c r="AC362" s="37">
        <f>SUM(AC342:AC361)</f>
        <v>0</v>
      </c>
      <c r="AD362" s="43">
        <f>SUM(AD342:AD361)</f>
        <v>0</v>
      </c>
      <c r="AE362" s="63">
        <f>SUM(AE342:AE361)</f>
        <v>0</v>
      </c>
      <c r="AF362" s="63">
        <f>SUM(AF342:AF361)</f>
        <v>0</v>
      </c>
      <c r="AG362" s="63" t="s">
        <v>26</v>
      </c>
      <c r="AH362" s="63">
        <f>SUM(AH342:AH361)</f>
        <v>0</v>
      </c>
      <c r="AI362" s="63">
        <f>SUM(AI342:AI361)</f>
        <v>0</v>
      </c>
      <c r="AJ362" s="63"/>
      <c r="AK362" s="57"/>
      <c r="AL362" s="66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</row>
    <row r="363" spans="1:60" ht="24" hidden="1" customHeight="1" x14ac:dyDescent="0.15">
      <c r="A363" s="139">
        <v>341</v>
      </c>
      <c r="B363" s="389"/>
      <c r="C363" s="389"/>
      <c r="D363" s="389"/>
      <c r="E363" s="336"/>
      <c r="F363" s="336"/>
      <c r="G363" s="551"/>
      <c r="H363" s="631"/>
      <c r="I363" s="631"/>
      <c r="J363" s="551"/>
      <c r="K363" s="551"/>
      <c r="L363" s="632"/>
      <c r="M363" s="335"/>
      <c r="N363" s="633"/>
      <c r="O363" s="337"/>
      <c r="P363" s="335"/>
      <c r="Q363" s="335"/>
      <c r="R363" s="335"/>
      <c r="S363" s="391"/>
      <c r="T363" s="64" t="s">
        <v>27</v>
      </c>
      <c r="U363" s="64">
        <f>COUNTIF(D363:D382,"전")</f>
        <v>0</v>
      </c>
      <c r="V363" s="65">
        <f>COUNTIF(I363:I382,"전")</f>
        <v>0</v>
      </c>
      <c r="W363" s="64" t="s">
        <v>26</v>
      </c>
      <c r="X363" s="64">
        <f>SUMIF(D363:D382,"전",F363:F382)</f>
        <v>0</v>
      </c>
      <c r="Y363" s="65">
        <f>SUMIF(I363:I382,"전",K363:K382)</f>
        <v>0</v>
      </c>
      <c r="Z363" s="10">
        <f>COUNTIF(AJ363:AJ382,"전국")+COUNTIF(AJ363:AJ382,"전공")</f>
        <v>0</v>
      </c>
      <c r="AA363" s="42">
        <f>COUNTIF(AK363:AK382,"전국")+COUNTIF(AK363:AK382,"전공")</f>
        <v>0</v>
      </c>
      <c r="AB363" s="10" t="s">
        <v>26</v>
      </c>
      <c r="AC363" s="10">
        <f>SUMIF(AJ363:AJ382,"전국",F363:F382)+SUMIF(AJ363:AJ382,"전공",F363:F382)</f>
        <v>0</v>
      </c>
      <c r="AD363" s="42">
        <f>SUMIF(AK363:AK382,"전국",K363:K382)+SUMIF(AK363:AK382,"전공",K363:K382)</f>
        <v>0</v>
      </c>
      <c r="AE363" s="64">
        <f t="shared" ref="AE363:AF379" si="79">U363-Z363</f>
        <v>0</v>
      </c>
      <c r="AF363" s="65">
        <f t="shared" si="79"/>
        <v>0</v>
      </c>
      <c r="AG363" s="64" t="s">
        <v>26</v>
      </c>
      <c r="AH363" s="64">
        <f t="shared" ref="AH363:AI379" si="80">X363-AC363</f>
        <v>0</v>
      </c>
      <c r="AI363" s="65">
        <f t="shared" si="80"/>
        <v>0</v>
      </c>
      <c r="AJ363" s="64" t="str">
        <f t="shared" ref="AJ363:AJ382" si="81">CONCATENATE(D363,L363)</f>
        <v/>
      </c>
      <c r="AK363" s="64" t="str">
        <f t="shared" ref="AK363:AK382" si="82">CONCATENATE(I363,L363)</f>
        <v/>
      </c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</row>
    <row r="364" spans="1:60" ht="24" hidden="1" customHeight="1" x14ac:dyDescent="0.15">
      <c r="A364" s="146">
        <v>342</v>
      </c>
      <c r="B364" s="331"/>
      <c r="C364" s="331"/>
      <c r="D364" s="331"/>
      <c r="E364" s="122"/>
      <c r="F364" s="122"/>
      <c r="G364" s="355"/>
      <c r="H364" s="354"/>
      <c r="I364" s="354"/>
      <c r="J364" s="355"/>
      <c r="K364" s="355"/>
      <c r="L364" s="332"/>
      <c r="M364" s="205"/>
      <c r="N364" s="457"/>
      <c r="O364" s="341"/>
      <c r="P364" s="205"/>
      <c r="Q364" s="205"/>
      <c r="R364" s="205"/>
      <c r="S364" s="276"/>
      <c r="T364" s="64" t="s">
        <v>28</v>
      </c>
      <c r="U364" s="64">
        <f>COUNTIF(D363:D382,"답")</f>
        <v>0</v>
      </c>
      <c r="V364" s="65">
        <f>COUNTIF(I363:I382,"답")</f>
        <v>0</v>
      </c>
      <c r="W364" s="64" t="s">
        <v>26</v>
      </c>
      <c r="X364" s="64">
        <f>SUMIF(D363:D382,"답",F363:F382)</f>
        <v>0</v>
      </c>
      <c r="Y364" s="65">
        <f>SUMIF(I363:I382,"답",K363:K382)</f>
        <v>0</v>
      </c>
      <c r="Z364" s="10">
        <f>COUNTIF(AJ363:AJ382,"답국")+COUNTIF(AJ363:AJ382,"답공")</f>
        <v>0</v>
      </c>
      <c r="AA364" s="42">
        <f>COUNTIF(AK363:AK382,"답국")+COUNTIF(AK363:AK382,"답공")</f>
        <v>0</v>
      </c>
      <c r="AB364" s="10" t="s">
        <v>26</v>
      </c>
      <c r="AC364" s="10">
        <f>SUMIF(AJ363:AJ382,"답국",F363:F382)+SUMIF(AJ363:AJ382,"답공",F363:F382)</f>
        <v>0</v>
      </c>
      <c r="AD364" s="42">
        <f>SUMIF(AK363:AK382,"답국",K363:K382)+SUMIF(AK363:AK382,"답공",K363:K382)</f>
        <v>0</v>
      </c>
      <c r="AE364" s="64">
        <f t="shared" si="79"/>
        <v>0</v>
      </c>
      <c r="AF364" s="65">
        <f t="shared" si="79"/>
        <v>0</v>
      </c>
      <c r="AG364" s="64" t="s">
        <v>26</v>
      </c>
      <c r="AH364" s="64">
        <f t="shared" si="80"/>
        <v>0</v>
      </c>
      <c r="AI364" s="65">
        <f t="shared" si="80"/>
        <v>0</v>
      </c>
      <c r="AJ364" s="64" t="str">
        <f t="shared" si="81"/>
        <v/>
      </c>
      <c r="AK364" s="64" t="str">
        <f t="shared" si="82"/>
        <v/>
      </c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</row>
    <row r="365" spans="1:60" ht="24" hidden="1" customHeight="1" x14ac:dyDescent="0.15">
      <c r="A365" s="146">
        <v>343</v>
      </c>
      <c r="B365" s="331"/>
      <c r="C365" s="331"/>
      <c r="D365" s="331"/>
      <c r="E365" s="122"/>
      <c r="F365" s="122"/>
      <c r="G365" s="355"/>
      <c r="H365" s="354"/>
      <c r="I365" s="354"/>
      <c r="J365" s="355"/>
      <c r="K365" s="355"/>
      <c r="L365" s="332"/>
      <c r="M365" s="205"/>
      <c r="N365" s="457"/>
      <c r="O365" s="341"/>
      <c r="P365" s="205"/>
      <c r="Q365" s="205"/>
      <c r="R365" s="205"/>
      <c r="S365" s="276"/>
      <c r="T365" s="64" t="s">
        <v>44</v>
      </c>
      <c r="U365" s="64">
        <f>COUNTIF(D363:D382,"임")</f>
        <v>0</v>
      </c>
      <c r="V365" s="65">
        <f>COUNTIF(I363:I382,"임")</f>
        <v>0</v>
      </c>
      <c r="W365" s="64" t="s">
        <v>26</v>
      </c>
      <c r="X365" s="64">
        <f>SUMIF(D363:D382,"임",F363:F382)</f>
        <v>0</v>
      </c>
      <c r="Y365" s="65">
        <f>SUMIF(I363:I382,"임",K363:K382)</f>
        <v>0</v>
      </c>
      <c r="Z365" s="10">
        <f>COUNTIF(AJ363:AJ382,"임국")+COUNTIF(AJ363:AJ382,"임공")</f>
        <v>0</v>
      </c>
      <c r="AA365" s="42">
        <f>COUNTIF(AK363:AK382,"임국")+COUNTIF(AK363:AK382,"임공")</f>
        <v>0</v>
      </c>
      <c r="AB365" s="10" t="s">
        <v>26</v>
      </c>
      <c r="AC365" s="10">
        <f>SUMIF(AJ363:AJ382,"임국",F363:F382)+SUMIF(AJ363:AJ382,"임공",F363:F382)</f>
        <v>0</v>
      </c>
      <c r="AD365" s="42">
        <f>SUMIF(AK363:AK382,"임국",K363:K382)+SUMIF(AK363:AK382,"임공",K363:K382)</f>
        <v>0</v>
      </c>
      <c r="AE365" s="64">
        <f t="shared" si="79"/>
        <v>0</v>
      </c>
      <c r="AF365" s="65">
        <f t="shared" si="79"/>
        <v>0</v>
      </c>
      <c r="AG365" s="64" t="s">
        <v>26</v>
      </c>
      <c r="AH365" s="64">
        <f t="shared" si="80"/>
        <v>0</v>
      </c>
      <c r="AI365" s="65">
        <f t="shared" si="80"/>
        <v>0</v>
      </c>
      <c r="AJ365" s="64" t="str">
        <f t="shared" si="81"/>
        <v/>
      </c>
      <c r="AK365" s="64" t="str">
        <f t="shared" si="82"/>
        <v/>
      </c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</row>
    <row r="366" spans="1:60" ht="24" hidden="1" customHeight="1" x14ac:dyDescent="0.15">
      <c r="A366" s="146">
        <v>344</v>
      </c>
      <c r="B366" s="331"/>
      <c r="C366" s="331"/>
      <c r="D366" s="331"/>
      <c r="E366" s="122"/>
      <c r="F366" s="122"/>
      <c r="G366" s="355"/>
      <c r="H366" s="354"/>
      <c r="I366" s="354"/>
      <c r="J366" s="355"/>
      <c r="K366" s="355"/>
      <c r="L366" s="332"/>
      <c r="M366" s="205"/>
      <c r="N366" s="457"/>
      <c r="O366" s="341"/>
      <c r="P366" s="205"/>
      <c r="Q366" s="205"/>
      <c r="R366" s="205"/>
      <c r="S366" s="276"/>
      <c r="T366" s="64" t="s">
        <v>45</v>
      </c>
      <c r="U366" s="64">
        <f>COUNTIF(D363:D382,"대")</f>
        <v>0</v>
      </c>
      <c r="V366" s="65">
        <f>COUNTIF(I363:I382,"대")</f>
        <v>0</v>
      </c>
      <c r="W366" s="64" t="s">
        <v>26</v>
      </c>
      <c r="X366" s="64">
        <f>SUMIF(D363:D382,"대",F363:F382)</f>
        <v>0</v>
      </c>
      <c r="Y366" s="65">
        <f>SUMIF(I363:I382,"대",K363:K382)</f>
        <v>0</v>
      </c>
      <c r="Z366" s="10">
        <f>COUNTIF(AJ363:AJ382,"대국")+COUNTIF(AJ363:AJ382,"대공")</f>
        <v>0</v>
      </c>
      <c r="AA366" s="42">
        <f>COUNTIF(AK363:AK382,"대국")+COUNTIF(AK363:AK382,"대공")</f>
        <v>0</v>
      </c>
      <c r="AB366" s="10" t="s">
        <v>26</v>
      </c>
      <c r="AC366" s="10">
        <f>SUMIF(AJ363:AJ382,"대국",F363:F382)+SUMIF(AJ363:AJ382,"대공",F363:F382)</f>
        <v>0</v>
      </c>
      <c r="AD366" s="42">
        <f>SUMIF(AK363:AK382,"대국",K363:K382)+SUMIF(AK363:AK382,"대공",K363:K382)</f>
        <v>0</v>
      </c>
      <c r="AE366" s="64">
        <f t="shared" si="79"/>
        <v>0</v>
      </c>
      <c r="AF366" s="65">
        <f t="shared" si="79"/>
        <v>0</v>
      </c>
      <c r="AG366" s="64" t="s">
        <v>26</v>
      </c>
      <c r="AH366" s="64">
        <f t="shared" si="80"/>
        <v>0</v>
      </c>
      <c r="AI366" s="65">
        <f t="shared" si="80"/>
        <v>0</v>
      </c>
      <c r="AJ366" s="64" t="str">
        <f t="shared" si="81"/>
        <v/>
      </c>
      <c r="AK366" s="64" t="str">
        <f t="shared" si="82"/>
        <v/>
      </c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</row>
    <row r="367" spans="1:60" ht="24" hidden="1" customHeight="1" x14ac:dyDescent="0.15">
      <c r="A367" s="146">
        <v>345</v>
      </c>
      <c r="B367" s="331"/>
      <c r="C367" s="331"/>
      <c r="D367" s="331"/>
      <c r="E367" s="122"/>
      <c r="F367" s="122"/>
      <c r="G367" s="355"/>
      <c r="H367" s="354"/>
      <c r="I367" s="354"/>
      <c r="J367" s="355"/>
      <c r="K367" s="355"/>
      <c r="L367" s="332"/>
      <c r="M367" s="205"/>
      <c r="N367" s="457"/>
      <c r="O367" s="341"/>
      <c r="P367" s="205"/>
      <c r="Q367" s="205"/>
      <c r="R367" s="205"/>
      <c r="S367" s="276"/>
      <c r="T367" s="64" t="s">
        <v>31</v>
      </c>
      <c r="U367" s="64">
        <f>COUNTIF(D363:D382,"도")</f>
        <v>0</v>
      </c>
      <c r="V367" s="65">
        <f>COUNTIF(I363:I382,"도")</f>
        <v>0</v>
      </c>
      <c r="W367" s="64" t="s">
        <v>26</v>
      </c>
      <c r="X367" s="64">
        <f>SUMIF(D363:D382,"도",F363:F382)</f>
        <v>0</v>
      </c>
      <c r="Y367" s="65">
        <f>SUMIF(I363:I382,"도",K363:K382)</f>
        <v>0</v>
      </c>
      <c r="Z367" s="10">
        <f>COUNTIF(AJ363:AJ382,"도국")+COUNTIF(AJ363:AJ382,"도공")</f>
        <v>0</v>
      </c>
      <c r="AA367" s="42">
        <f>COUNTIF(AK363:AK382,"도국")+COUNTIF(AK363:AK382,"도공")</f>
        <v>0</v>
      </c>
      <c r="AB367" s="10" t="s">
        <v>26</v>
      </c>
      <c r="AC367" s="10">
        <f>SUMIF(AJ363:AJ382,"도국",F363:F382)+SUMIF(AJ363:AJ382,"도공",F363:F382)</f>
        <v>0</v>
      </c>
      <c r="AD367" s="42">
        <f>SUMIF(AK363:AK382,"도국",K363:K382)+SUMIF(AK363:AK382,"도공",K363:K382)</f>
        <v>0</v>
      </c>
      <c r="AE367" s="64">
        <f t="shared" si="79"/>
        <v>0</v>
      </c>
      <c r="AF367" s="65">
        <f t="shared" si="79"/>
        <v>0</v>
      </c>
      <c r="AG367" s="64" t="s">
        <v>26</v>
      </c>
      <c r="AH367" s="64">
        <f t="shared" si="80"/>
        <v>0</v>
      </c>
      <c r="AI367" s="65">
        <f t="shared" si="80"/>
        <v>0</v>
      </c>
      <c r="AJ367" s="64" t="str">
        <f t="shared" si="81"/>
        <v/>
      </c>
      <c r="AK367" s="64" t="str">
        <f t="shared" si="82"/>
        <v/>
      </c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</row>
    <row r="368" spans="1:60" ht="24" hidden="1" customHeight="1" x14ac:dyDescent="0.15">
      <c r="A368" s="146">
        <v>346</v>
      </c>
      <c r="B368" s="331"/>
      <c r="C368" s="331"/>
      <c r="D368" s="331"/>
      <c r="E368" s="122"/>
      <c r="F368" s="122"/>
      <c r="G368" s="355"/>
      <c r="H368" s="354"/>
      <c r="I368" s="354"/>
      <c r="J368" s="355"/>
      <c r="K368" s="355"/>
      <c r="L368" s="332"/>
      <c r="M368" s="205"/>
      <c r="N368" s="457"/>
      <c r="O368" s="341"/>
      <c r="P368" s="205"/>
      <c r="Q368" s="205"/>
      <c r="R368" s="205"/>
      <c r="S368" s="276"/>
      <c r="T368" s="64" t="s">
        <v>32</v>
      </c>
      <c r="U368" s="68">
        <f>COUNTIF(D363:D382,"천")</f>
        <v>0</v>
      </c>
      <c r="V368" s="69">
        <f>COUNTIF(I363:I382,"천")</f>
        <v>0</v>
      </c>
      <c r="W368" s="64" t="s">
        <v>26</v>
      </c>
      <c r="X368" s="64">
        <f>SUMIF(D363:D382,"천",F363:F382)</f>
        <v>0</v>
      </c>
      <c r="Y368" s="65">
        <f>SUMIF(I363:I382,"천",K363:K382)</f>
        <v>0</v>
      </c>
      <c r="Z368" s="10">
        <f>COUNTIF(AJ363:AJ382,"천국")+COUNTIF(AJ363:AJ382,"천공")</f>
        <v>0</v>
      </c>
      <c r="AA368" s="42">
        <f>COUNTIF(AK363:AK382,"천국")+COUNTIF(AK363:AK382,"천공")</f>
        <v>0</v>
      </c>
      <c r="AB368" s="10" t="s">
        <v>26</v>
      </c>
      <c r="AC368" s="10">
        <f>SUMIF(AJ363:AJ382,"천국",F363:F382)+SUMIF(AJ363:AJ382,"천공",F363:F382)</f>
        <v>0</v>
      </c>
      <c r="AD368" s="42">
        <f>SUMIF(AK363:AK382,"천국",K363:K382)+SUMIF(AK363:AK382,"천공",K363:K382)</f>
        <v>0</v>
      </c>
      <c r="AE368" s="64">
        <f t="shared" si="79"/>
        <v>0</v>
      </c>
      <c r="AF368" s="65">
        <f t="shared" si="79"/>
        <v>0</v>
      </c>
      <c r="AG368" s="64" t="s">
        <v>26</v>
      </c>
      <c r="AH368" s="64">
        <f t="shared" si="80"/>
        <v>0</v>
      </c>
      <c r="AI368" s="65">
        <f t="shared" si="80"/>
        <v>0</v>
      </c>
      <c r="AJ368" s="64" t="str">
        <f t="shared" si="81"/>
        <v/>
      </c>
      <c r="AK368" s="64" t="str">
        <f t="shared" si="82"/>
        <v/>
      </c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</row>
    <row r="369" spans="1:60" ht="24" hidden="1" customHeight="1" x14ac:dyDescent="0.15">
      <c r="A369" s="146">
        <v>347</v>
      </c>
      <c r="B369" s="331"/>
      <c r="C369" s="331"/>
      <c r="D369" s="331"/>
      <c r="E369" s="122"/>
      <c r="F369" s="122"/>
      <c r="G369" s="355"/>
      <c r="H369" s="354"/>
      <c r="I369" s="354"/>
      <c r="J369" s="355"/>
      <c r="K369" s="355"/>
      <c r="L369" s="332"/>
      <c r="M369" s="205"/>
      <c r="N369" s="457"/>
      <c r="O369" s="341"/>
      <c r="P369" s="205"/>
      <c r="Q369" s="205"/>
      <c r="R369" s="205"/>
      <c r="S369" s="276"/>
      <c r="T369" s="64" t="s">
        <v>33</v>
      </c>
      <c r="U369" s="64">
        <f>COUNTIF(D363:D382,"구")</f>
        <v>0</v>
      </c>
      <c r="V369" s="65">
        <f>COUNTIF(I363:I382,"구")</f>
        <v>0</v>
      </c>
      <c r="W369" s="64" t="s">
        <v>26</v>
      </c>
      <c r="X369" s="64">
        <f>SUMIF(D363:D382,"구",F363:F382)</f>
        <v>0</v>
      </c>
      <c r="Y369" s="65">
        <f>SUMIF(I363:I382,"구",K363:K382)</f>
        <v>0</v>
      </c>
      <c r="Z369" s="10">
        <f>COUNTIF(AJ363:AJ382,"구국")+COUNTIF(AJ363:AJ382,"구공")</f>
        <v>0</v>
      </c>
      <c r="AA369" s="42">
        <f>COUNTIF(AK363:AK382,"구국")+COUNTIF(AK363:AK382,"구공")</f>
        <v>0</v>
      </c>
      <c r="AB369" s="10" t="s">
        <v>26</v>
      </c>
      <c r="AC369" s="10">
        <f>SUMIF(AJ363:AJ382,"구국",F363:F382)+SUMIF(AJ363:AJ382,"구공",F363:F382)</f>
        <v>0</v>
      </c>
      <c r="AD369" s="42">
        <f>SUMIF(AK363:AK382,"구국",K363:K382)+SUMIF(AK363:AK382,"구공",K363:K382)</f>
        <v>0</v>
      </c>
      <c r="AE369" s="64">
        <f t="shared" si="79"/>
        <v>0</v>
      </c>
      <c r="AF369" s="65">
        <f t="shared" si="79"/>
        <v>0</v>
      </c>
      <c r="AG369" s="64" t="s">
        <v>26</v>
      </c>
      <c r="AH369" s="64">
        <f t="shared" si="80"/>
        <v>0</v>
      </c>
      <c r="AI369" s="65">
        <f t="shared" si="80"/>
        <v>0</v>
      </c>
      <c r="AJ369" s="64" t="str">
        <f t="shared" si="81"/>
        <v/>
      </c>
      <c r="AK369" s="64" t="str">
        <f t="shared" si="82"/>
        <v/>
      </c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</row>
    <row r="370" spans="1:60" ht="24" hidden="1" customHeight="1" x14ac:dyDescent="0.15">
      <c r="A370" s="146">
        <v>348</v>
      </c>
      <c r="B370" s="331"/>
      <c r="C370" s="331"/>
      <c r="D370" s="331"/>
      <c r="E370" s="122"/>
      <c r="F370" s="122"/>
      <c r="G370" s="355"/>
      <c r="H370" s="354"/>
      <c r="I370" s="354"/>
      <c r="J370" s="355"/>
      <c r="K370" s="355"/>
      <c r="L370" s="332"/>
      <c r="M370" s="205"/>
      <c r="N370" s="457"/>
      <c r="O370" s="341"/>
      <c r="P370" s="205"/>
      <c r="Q370" s="205"/>
      <c r="R370" s="205"/>
      <c r="S370" s="276"/>
      <c r="T370" s="64" t="s">
        <v>34</v>
      </c>
      <c r="U370" s="64">
        <f>COUNTIF(D363:D382,"제")</f>
        <v>0</v>
      </c>
      <c r="V370" s="65">
        <f>COUNTIF(I363:I382,"제")</f>
        <v>0</v>
      </c>
      <c r="W370" s="64" t="s">
        <v>26</v>
      </c>
      <c r="X370" s="64">
        <f>SUMIF(D363:D382,"제",F363:F382)</f>
        <v>0</v>
      </c>
      <c r="Y370" s="65">
        <f>SUMIF(I363:I382,"제",K363:K382)</f>
        <v>0</v>
      </c>
      <c r="Z370" s="10">
        <f>COUNTIF(AJ363:AJ382,"제국")+COUNTIF(AJ363:AJ382,"제공")</f>
        <v>0</v>
      </c>
      <c r="AA370" s="42">
        <f>COUNTIF(AK363:AK382,"제국")+COUNTIF(AK363:AK382,"제공")</f>
        <v>0</v>
      </c>
      <c r="AB370" s="10" t="s">
        <v>26</v>
      </c>
      <c r="AC370" s="10">
        <f>SUMIF(AJ363:AJ382,"제국",F363:F382)+SUMIF(AJ363:AJ382,"제공",F363:F382)</f>
        <v>0</v>
      </c>
      <c r="AD370" s="42">
        <f>SUMIF(AK363:AK382,"제국",K363:K382)+SUMIF(AK363:AK382,"제공",K363:K382)</f>
        <v>0</v>
      </c>
      <c r="AE370" s="64">
        <f t="shared" si="79"/>
        <v>0</v>
      </c>
      <c r="AF370" s="65">
        <f t="shared" si="79"/>
        <v>0</v>
      </c>
      <c r="AG370" s="64" t="s">
        <v>26</v>
      </c>
      <c r="AH370" s="64">
        <f t="shared" si="80"/>
        <v>0</v>
      </c>
      <c r="AI370" s="65">
        <f t="shared" si="80"/>
        <v>0</v>
      </c>
      <c r="AJ370" s="64" t="str">
        <f t="shared" si="81"/>
        <v/>
      </c>
      <c r="AK370" s="64" t="str">
        <f t="shared" si="82"/>
        <v/>
      </c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</row>
    <row r="371" spans="1:60" ht="24" hidden="1" customHeight="1" x14ac:dyDescent="0.15">
      <c r="A371" s="146">
        <v>349</v>
      </c>
      <c r="B371" s="331"/>
      <c r="C371" s="331"/>
      <c r="D371" s="331"/>
      <c r="E371" s="122"/>
      <c r="F371" s="122"/>
      <c r="G371" s="355"/>
      <c r="H371" s="354"/>
      <c r="I371" s="354"/>
      <c r="J371" s="355"/>
      <c r="K371" s="355"/>
      <c r="L371" s="332"/>
      <c r="M371" s="205"/>
      <c r="N371" s="457"/>
      <c r="O371" s="341"/>
      <c r="P371" s="205"/>
      <c r="Q371" s="205"/>
      <c r="R371" s="205"/>
      <c r="S371" s="276"/>
      <c r="T371" s="64" t="s">
        <v>46</v>
      </c>
      <c r="U371" s="64">
        <f>COUNTIF(D363:D382,"유")</f>
        <v>0</v>
      </c>
      <c r="V371" s="65">
        <f>COUNTIF(I363:I382,"유")</f>
        <v>0</v>
      </c>
      <c r="W371" s="64" t="s">
        <v>26</v>
      </c>
      <c r="X371" s="64">
        <f>SUMIF(D363:D382,"유",F363:F382)</f>
        <v>0</v>
      </c>
      <c r="Y371" s="65">
        <f>SUMIF(I363:I382,"유",K363:K382)</f>
        <v>0</v>
      </c>
      <c r="Z371" s="10">
        <f>COUNTIF(AJ363:AJ382,"유국")+COUNTIF(AJ363:AJ382,"유공")</f>
        <v>0</v>
      </c>
      <c r="AA371" s="42">
        <f>COUNTIF(AK363:AK382,"유국")+COUNTIF(AK363:AK382,"유공")</f>
        <v>0</v>
      </c>
      <c r="AB371" s="10" t="s">
        <v>26</v>
      </c>
      <c r="AC371" s="10">
        <f>SUMIF(AJ363:AJ382,"유국",F363:F382)+SUMIF(AJ363:AJ382,"유공",F363:F382)</f>
        <v>0</v>
      </c>
      <c r="AD371" s="42">
        <f>SUMIF(AK363:AK382,"유국",K363:K382)+SUMIF(AK363:AK382,"유공",K363:K382)</f>
        <v>0</v>
      </c>
      <c r="AE371" s="64">
        <f t="shared" si="79"/>
        <v>0</v>
      </c>
      <c r="AF371" s="65">
        <f t="shared" si="79"/>
        <v>0</v>
      </c>
      <c r="AG371" s="64" t="s">
        <v>26</v>
      </c>
      <c r="AH371" s="64">
        <f t="shared" si="80"/>
        <v>0</v>
      </c>
      <c r="AI371" s="65">
        <f t="shared" si="80"/>
        <v>0</v>
      </c>
      <c r="AJ371" s="64" t="str">
        <f t="shared" si="81"/>
        <v/>
      </c>
      <c r="AK371" s="64" t="str">
        <f t="shared" si="82"/>
        <v/>
      </c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</row>
    <row r="372" spans="1:60" ht="24" hidden="1" customHeight="1" x14ac:dyDescent="0.15">
      <c r="A372" s="146">
        <v>350</v>
      </c>
      <c r="B372" s="331"/>
      <c r="C372" s="331"/>
      <c r="D372" s="331"/>
      <c r="E372" s="122"/>
      <c r="F372" s="122"/>
      <c r="G372" s="355"/>
      <c r="H372" s="354"/>
      <c r="I372" s="354"/>
      <c r="J372" s="355"/>
      <c r="K372" s="355"/>
      <c r="L372" s="332"/>
      <c r="M372" s="205"/>
      <c r="N372" s="457"/>
      <c r="O372" s="341"/>
      <c r="P372" s="205"/>
      <c r="Q372" s="205"/>
      <c r="R372" s="205"/>
      <c r="S372" s="276"/>
      <c r="T372" s="64" t="s">
        <v>47</v>
      </c>
      <c r="U372" s="64">
        <f>COUNTIF(D363:D382,"과")</f>
        <v>0</v>
      </c>
      <c r="V372" s="65">
        <f>COUNTIF(I363:I382,"과")</f>
        <v>0</v>
      </c>
      <c r="W372" s="64" t="s">
        <v>26</v>
      </c>
      <c r="X372" s="64">
        <f>SUMIF(D363:D382,"과",F363:F382)</f>
        <v>0</v>
      </c>
      <c r="Y372" s="65">
        <f>SUMIF(I363:I382,"과",K363:K382)</f>
        <v>0</v>
      </c>
      <c r="Z372" s="10">
        <f>COUNTIF(AJ363:AJ382,"과국")+COUNTIF(AJ363:AJ382,"과공")</f>
        <v>0</v>
      </c>
      <c r="AA372" s="42">
        <f>COUNTIF(AK363:AK382,"과국")+COUNTIF(AK363:AK382,"과공")</f>
        <v>0</v>
      </c>
      <c r="AB372" s="10" t="s">
        <v>26</v>
      </c>
      <c r="AC372" s="10">
        <f>SUMIF(AJ363:AJ382,"과국",F363:F382)+SUMIF(AJ363:AJ382,"과공",F363:F382)</f>
        <v>0</v>
      </c>
      <c r="AD372" s="42">
        <f>SUMIF(AK363:AK382,"과국",K363:K382)+SUMIF(AK363:AK382,"과공",K363:K382)</f>
        <v>0</v>
      </c>
      <c r="AE372" s="64">
        <f t="shared" si="79"/>
        <v>0</v>
      </c>
      <c r="AF372" s="65">
        <f t="shared" si="79"/>
        <v>0</v>
      </c>
      <c r="AG372" s="64" t="s">
        <v>26</v>
      </c>
      <c r="AH372" s="64">
        <f t="shared" si="80"/>
        <v>0</v>
      </c>
      <c r="AI372" s="65">
        <f t="shared" si="80"/>
        <v>0</v>
      </c>
      <c r="AJ372" s="64" t="str">
        <f t="shared" si="81"/>
        <v/>
      </c>
      <c r="AK372" s="64" t="str">
        <f t="shared" si="82"/>
        <v/>
      </c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</row>
    <row r="373" spans="1:60" ht="24" hidden="1" customHeight="1" x14ac:dyDescent="0.15">
      <c r="A373" s="146">
        <v>351</v>
      </c>
      <c r="B373" s="331"/>
      <c r="C373" s="331"/>
      <c r="D373" s="331"/>
      <c r="E373" s="122"/>
      <c r="F373" s="122"/>
      <c r="G373" s="355"/>
      <c r="H373" s="354"/>
      <c r="I373" s="354"/>
      <c r="J373" s="355"/>
      <c r="K373" s="355"/>
      <c r="L373" s="332"/>
      <c r="M373" s="205"/>
      <c r="N373" s="457"/>
      <c r="O373" s="341"/>
      <c r="P373" s="205"/>
      <c r="Q373" s="205"/>
      <c r="R373" s="205"/>
      <c r="S373" s="276"/>
      <c r="T373" s="64" t="s">
        <v>36</v>
      </c>
      <c r="U373" s="64">
        <f>COUNTIF(D363:D382,"묘")</f>
        <v>0</v>
      </c>
      <c r="V373" s="65">
        <f>COUNTIF(I363:I382,"묘")</f>
        <v>0</v>
      </c>
      <c r="W373" s="64" t="s">
        <v>26</v>
      </c>
      <c r="X373" s="64">
        <f>SUMIF(D363:D382,"묘",F363:F382)</f>
        <v>0</v>
      </c>
      <c r="Y373" s="65">
        <f>SUMIF(I363:I382,"묘",K363:K382)</f>
        <v>0</v>
      </c>
      <c r="Z373" s="10">
        <f>COUNTIF(AJ363:AJ382,"묘국")+COUNTIF(AJ363:AJ382,"묘공")</f>
        <v>0</v>
      </c>
      <c r="AA373" s="42">
        <f>COUNTIF(AK363:AK382,"묘국")+COUNTIF(AK363:AK382,"묘공")</f>
        <v>0</v>
      </c>
      <c r="AB373" s="10" t="s">
        <v>26</v>
      </c>
      <c r="AC373" s="10">
        <f>SUMIF(AJ363:AJ382,"묘국",F363:F382)+SUMIF(AJ363:AJ382,"묘공",F363:F382)</f>
        <v>0</v>
      </c>
      <c r="AD373" s="42">
        <f>SUMIF(AK363:AK382,"묘국",K363:K382)+SUMIF(AK363:AK382,"묘공",K363:K382)</f>
        <v>0</v>
      </c>
      <c r="AE373" s="64">
        <f t="shared" si="79"/>
        <v>0</v>
      </c>
      <c r="AF373" s="65">
        <f t="shared" si="79"/>
        <v>0</v>
      </c>
      <c r="AG373" s="64" t="s">
        <v>26</v>
      </c>
      <c r="AH373" s="64">
        <f t="shared" si="80"/>
        <v>0</v>
      </c>
      <c r="AI373" s="65">
        <f t="shared" si="80"/>
        <v>0</v>
      </c>
      <c r="AJ373" s="64" t="str">
        <f t="shared" si="81"/>
        <v/>
      </c>
      <c r="AK373" s="64" t="str">
        <f t="shared" si="82"/>
        <v/>
      </c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</row>
    <row r="374" spans="1:60" ht="24" hidden="1" customHeight="1" x14ac:dyDescent="0.15">
      <c r="A374" s="146">
        <v>352</v>
      </c>
      <c r="B374" s="331"/>
      <c r="C374" s="331"/>
      <c r="D374" s="331"/>
      <c r="E374" s="122"/>
      <c r="F374" s="122"/>
      <c r="G374" s="355"/>
      <c r="H374" s="354"/>
      <c r="I374" s="354"/>
      <c r="J374" s="355"/>
      <c r="K374" s="355"/>
      <c r="L374" s="332"/>
      <c r="M374" s="205"/>
      <c r="N374" s="457"/>
      <c r="O374" s="341"/>
      <c r="P374" s="13"/>
      <c r="Q374" s="205"/>
      <c r="R374" s="13"/>
      <c r="S374" s="14"/>
      <c r="T374" s="64" t="s">
        <v>39</v>
      </c>
      <c r="U374" s="64">
        <f>COUNTIF(D363:D382,"수")</f>
        <v>0</v>
      </c>
      <c r="V374" s="65">
        <f>COUNTIF(I363:I382,"수")</f>
        <v>0</v>
      </c>
      <c r="W374" s="64" t="s">
        <v>26</v>
      </c>
      <c r="X374" s="64">
        <f>SUMIF(D363:D382,"수",F363:F382)</f>
        <v>0</v>
      </c>
      <c r="Y374" s="65">
        <f>SUMIF(I363:I382,"수",K363:K382)</f>
        <v>0</v>
      </c>
      <c r="Z374" s="10">
        <f>COUNTIF(AJ363:AJ382,"수국")+COUNTIF(AJ363:AJ382,"수공")</f>
        <v>0</v>
      </c>
      <c r="AA374" s="42">
        <f>COUNTIF(AK363:AK382,"수국")+COUNTIF(AK363:AK382,"수공")</f>
        <v>0</v>
      </c>
      <c r="AB374" s="10" t="s">
        <v>26</v>
      </c>
      <c r="AC374" s="10">
        <f>SUMIF(AJ363:AJ382,"수국",F363:F382)+SUMIF(AJ363:AJ382,"수공",F363:F382)</f>
        <v>0</v>
      </c>
      <c r="AD374" s="42">
        <f>SUMIF(AK363:AK382,"수국",K363:K382)+SUMIF(AK363:AK382,"수공",K363:K382)</f>
        <v>0</v>
      </c>
      <c r="AE374" s="64">
        <f t="shared" si="79"/>
        <v>0</v>
      </c>
      <c r="AF374" s="65">
        <f t="shared" si="79"/>
        <v>0</v>
      </c>
      <c r="AG374" s="64" t="s">
        <v>26</v>
      </c>
      <c r="AH374" s="64">
        <f t="shared" si="80"/>
        <v>0</v>
      </c>
      <c r="AI374" s="65">
        <f t="shared" si="80"/>
        <v>0</v>
      </c>
      <c r="AJ374" s="64" t="str">
        <f t="shared" si="81"/>
        <v/>
      </c>
      <c r="AK374" s="64" t="str">
        <f t="shared" si="82"/>
        <v/>
      </c>
    </row>
    <row r="375" spans="1:60" ht="24" hidden="1" customHeight="1" x14ac:dyDescent="0.15">
      <c r="A375" s="146">
        <v>353</v>
      </c>
      <c r="B375" s="331"/>
      <c r="C375" s="331"/>
      <c r="D375" s="331"/>
      <c r="E375" s="122"/>
      <c r="F375" s="122"/>
      <c r="G375" s="355"/>
      <c r="H375" s="354"/>
      <c r="I375" s="354"/>
      <c r="J375" s="355"/>
      <c r="K375" s="355"/>
      <c r="L375" s="332"/>
      <c r="M375" s="205"/>
      <c r="N375" s="457"/>
      <c r="O375" s="341"/>
      <c r="P375" s="13"/>
      <c r="Q375" s="205"/>
      <c r="R375" s="13"/>
      <c r="S375" s="14"/>
      <c r="T375" s="64" t="s">
        <v>35</v>
      </c>
      <c r="U375" s="64">
        <f>COUNTIF(D363:D382,"잡")</f>
        <v>0</v>
      </c>
      <c r="V375" s="65">
        <f>COUNTIF(I363:I382,"잡")</f>
        <v>0</v>
      </c>
      <c r="W375" s="64" t="s">
        <v>26</v>
      </c>
      <c r="X375" s="64">
        <f>SUMIF(D363:D382,"잡",F363:F382)</f>
        <v>0</v>
      </c>
      <c r="Y375" s="65">
        <f>SUMIF(I363:I382,"잡",K363:K382)</f>
        <v>0</v>
      </c>
      <c r="Z375" s="10">
        <f>COUNTIF(AJ363:AJ382,"잡국")+COUNTIF(AJ363:AJ382,"잡공")</f>
        <v>0</v>
      </c>
      <c r="AA375" s="42">
        <f>COUNTIF(AK363:AK382,"잡국")+COUNTIF(AK363:AK382,"잡공")</f>
        <v>0</v>
      </c>
      <c r="AB375" s="10" t="s">
        <v>26</v>
      </c>
      <c r="AC375" s="10">
        <f>SUMIF(AJ363:AJ382,"잡국",F363:F382)+SUMIF(AJ363:AJ382,"잡공",F363:F382)</f>
        <v>0</v>
      </c>
      <c r="AD375" s="42">
        <f>SUMIF(AK363:AK382,"잡국",K363:K382)+SUMIF(AK363:AK382,"잡공",K363:K382)</f>
        <v>0</v>
      </c>
      <c r="AE375" s="64">
        <f t="shared" si="79"/>
        <v>0</v>
      </c>
      <c r="AF375" s="65">
        <f t="shared" si="79"/>
        <v>0</v>
      </c>
      <c r="AG375" s="64" t="s">
        <v>26</v>
      </c>
      <c r="AH375" s="64">
        <f t="shared" si="80"/>
        <v>0</v>
      </c>
      <c r="AI375" s="65">
        <f t="shared" si="80"/>
        <v>0</v>
      </c>
      <c r="AJ375" s="64" t="str">
        <f t="shared" si="81"/>
        <v/>
      </c>
      <c r="AK375" s="64" t="str">
        <f t="shared" si="82"/>
        <v/>
      </c>
    </row>
    <row r="376" spans="1:60" ht="24" hidden="1" customHeight="1" x14ac:dyDescent="0.15">
      <c r="A376" s="146">
        <v>354</v>
      </c>
      <c r="B376" s="331"/>
      <c r="C376" s="331"/>
      <c r="D376" s="331"/>
      <c r="E376" s="122"/>
      <c r="F376" s="122"/>
      <c r="G376" s="355"/>
      <c r="H376" s="354"/>
      <c r="I376" s="354"/>
      <c r="J376" s="355"/>
      <c r="K376" s="355"/>
      <c r="L376" s="332"/>
      <c r="M376" s="205"/>
      <c r="N376" s="457"/>
      <c r="O376" s="341"/>
      <c r="P376" s="13"/>
      <c r="Q376" s="205"/>
      <c r="R376" s="13"/>
      <c r="S376" s="14"/>
      <c r="T376" s="64" t="s">
        <v>51</v>
      </c>
      <c r="U376" s="64">
        <f>COUNTIF(D363:D382,"체")</f>
        <v>0</v>
      </c>
      <c r="V376" s="65">
        <f>COUNTIF(I363:I382,"체")</f>
        <v>0</v>
      </c>
      <c r="W376" s="64" t="s">
        <v>26</v>
      </c>
      <c r="X376" s="64">
        <f>SUMIF(D363:D382,"체",F363:F382)</f>
        <v>0</v>
      </c>
      <c r="Y376" s="65">
        <f>SUMIF(I363:I382,"체",K363:K382)</f>
        <v>0</v>
      </c>
      <c r="Z376" s="10">
        <f>COUNTIF(AJ363:AJ382,"체국")+COUNTIF(AJ363:AJ382,"체공")</f>
        <v>0</v>
      </c>
      <c r="AA376" s="42">
        <f>COUNTIF(AK363:AK382,"체국")+COUNTIF(AK363:AK382,"체공")</f>
        <v>0</v>
      </c>
      <c r="AB376" s="10" t="s">
        <v>26</v>
      </c>
      <c r="AC376" s="10">
        <f>SUMIF(AJ363:AJ382,"체국",F363:F382)+SUMIF(AJ363:AJ382,"체공",F363:F382)</f>
        <v>0</v>
      </c>
      <c r="AD376" s="42">
        <f>SUMIF(AK363:AK382,"체국",K363:K382)+SUMIF(AK363:AK382,"체공",K363:K382)</f>
        <v>0</v>
      </c>
      <c r="AE376" s="64">
        <f t="shared" si="79"/>
        <v>0</v>
      </c>
      <c r="AF376" s="65">
        <f t="shared" si="79"/>
        <v>0</v>
      </c>
      <c r="AG376" s="64" t="s">
        <v>26</v>
      </c>
      <c r="AH376" s="64">
        <f t="shared" si="80"/>
        <v>0</v>
      </c>
      <c r="AI376" s="65">
        <f t="shared" si="80"/>
        <v>0</v>
      </c>
      <c r="AJ376" s="64" t="str">
        <f t="shared" si="81"/>
        <v/>
      </c>
      <c r="AK376" s="64" t="str">
        <f t="shared" si="82"/>
        <v/>
      </c>
    </row>
    <row r="377" spans="1:60" ht="24" hidden="1" customHeight="1" x14ac:dyDescent="0.15">
      <c r="A377" s="146">
        <v>355</v>
      </c>
      <c r="B377" s="331"/>
      <c r="C377" s="331"/>
      <c r="D377" s="331"/>
      <c r="E377" s="122"/>
      <c r="F377" s="122"/>
      <c r="G377" s="355"/>
      <c r="H377" s="354"/>
      <c r="I377" s="354"/>
      <c r="J377" s="355"/>
      <c r="K377" s="355"/>
      <c r="L377" s="332"/>
      <c r="M377" s="205"/>
      <c r="N377" s="457"/>
      <c r="O377" s="341"/>
      <c r="P377" s="13"/>
      <c r="Q377" s="205"/>
      <c r="R377" s="13"/>
      <c r="S377" s="14"/>
      <c r="T377" s="64" t="s">
        <v>50</v>
      </c>
      <c r="U377" s="64">
        <f>COUNTIF(D363:D382,"공")</f>
        <v>0</v>
      </c>
      <c r="V377" s="65">
        <f>COUNTIF(I363:I382,"공")</f>
        <v>0</v>
      </c>
      <c r="W377" s="64" t="s">
        <v>26</v>
      </c>
      <c r="X377" s="64">
        <f>SUMIF(D363:D382,"공",F363:F382)</f>
        <v>0</v>
      </c>
      <c r="Y377" s="65">
        <f>SUMIF(I363:I382,"공",K363:K382)</f>
        <v>0</v>
      </c>
      <c r="Z377" s="10">
        <f>COUNTIF(AJ363:AJ382,"공국")+COUNTIF(AJ363:AJ382,"공공")</f>
        <v>0</v>
      </c>
      <c r="AA377" s="42">
        <f>COUNTIF(AK363:AK382,"공국")+COUNTIF(AK363:AK382,"공공")</f>
        <v>0</v>
      </c>
      <c r="AB377" s="10" t="s">
        <v>26</v>
      </c>
      <c r="AC377" s="10">
        <f>SUMIF(AJ363:AJ382,"공국",F363:F382)+SUMIF(AJ363:AJ382,"공공",F363:F382)</f>
        <v>0</v>
      </c>
      <c r="AD377" s="42">
        <f>SUMIF(AK363:AK382,"공국",K363:K382)+SUMIF(AK363:AK382,"공공",K363:K382)</f>
        <v>0</v>
      </c>
      <c r="AE377" s="64">
        <f t="shared" si="79"/>
        <v>0</v>
      </c>
      <c r="AF377" s="65">
        <f t="shared" si="79"/>
        <v>0</v>
      </c>
      <c r="AG377" s="64" t="s">
        <v>26</v>
      </c>
      <c r="AH377" s="64">
        <f t="shared" si="80"/>
        <v>0</v>
      </c>
      <c r="AI377" s="65">
        <f t="shared" si="80"/>
        <v>0</v>
      </c>
      <c r="AJ377" s="64" t="str">
        <f t="shared" si="81"/>
        <v/>
      </c>
      <c r="AK377" s="64" t="str">
        <f t="shared" si="82"/>
        <v/>
      </c>
    </row>
    <row r="378" spans="1:60" ht="24" hidden="1" customHeight="1" x14ac:dyDescent="0.15">
      <c r="A378" s="146">
        <v>356</v>
      </c>
      <c r="B378" s="331"/>
      <c r="C378" s="331"/>
      <c r="D378" s="331"/>
      <c r="E378" s="122"/>
      <c r="F378" s="122"/>
      <c r="G378" s="355"/>
      <c r="H378" s="354"/>
      <c r="I378" s="354"/>
      <c r="J378" s="355"/>
      <c r="K378" s="355"/>
      <c r="L378" s="332"/>
      <c r="M378" s="205"/>
      <c r="N378" s="457"/>
      <c r="O378" s="341"/>
      <c r="P378" s="13"/>
      <c r="Q378" s="205"/>
      <c r="R378" s="13"/>
      <c r="S378" s="14"/>
      <c r="T378" s="70" t="s">
        <v>40</v>
      </c>
      <c r="U378" s="64">
        <f>COUNTIF(D363:D382,"장")</f>
        <v>0</v>
      </c>
      <c r="V378" s="65">
        <f>COUNTIF(I363:I382,"장")</f>
        <v>0</v>
      </c>
      <c r="W378" s="64" t="s">
        <v>26</v>
      </c>
      <c r="X378" s="64">
        <f>SUMIF(D363:D382,"장",F363:F382)</f>
        <v>0</v>
      </c>
      <c r="Y378" s="65">
        <f>SUMIF(I363:I382,"장",K363:K382)</f>
        <v>0</v>
      </c>
      <c r="Z378" s="10">
        <f>COUNTIF(AJ363:AJ382,"장국")+COUNTIF(AJ363:AJ382,"장공")</f>
        <v>0</v>
      </c>
      <c r="AA378" s="42">
        <f>COUNTIF(AK363:AK382,"장국")+COUNTIF(AK363:AK382,"장공")</f>
        <v>0</v>
      </c>
      <c r="AB378" s="10" t="s">
        <v>26</v>
      </c>
      <c r="AC378" s="10">
        <f>SUMIF(AJ363:AJ382,"장국",F363:F382)+SUMIF(AJ363:AJ382,"장공",F363:F382)</f>
        <v>0</v>
      </c>
      <c r="AD378" s="42">
        <f>SUMIF(AK363:AK382,"장국",K363:K382)+SUMIF(AK363:AK382,"장공",K363:K382)</f>
        <v>0</v>
      </c>
      <c r="AE378" s="64">
        <f t="shared" si="79"/>
        <v>0</v>
      </c>
      <c r="AF378" s="65">
        <f t="shared" si="79"/>
        <v>0</v>
      </c>
      <c r="AG378" s="64" t="s">
        <v>26</v>
      </c>
      <c r="AH378" s="64">
        <f t="shared" si="80"/>
        <v>0</v>
      </c>
      <c r="AI378" s="65">
        <f t="shared" si="80"/>
        <v>0</v>
      </c>
      <c r="AJ378" s="64" t="str">
        <f t="shared" si="81"/>
        <v/>
      </c>
      <c r="AK378" s="64" t="str">
        <f t="shared" si="82"/>
        <v/>
      </c>
    </row>
    <row r="379" spans="1:60" ht="24" hidden="1" customHeight="1" x14ac:dyDescent="0.15">
      <c r="A379" s="146">
        <v>357</v>
      </c>
      <c r="B379" s="331"/>
      <c r="C379" s="331"/>
      <c r="D379" s="331"/>
      <c r="E379" s="122"/>
      <c r="F379" s="122"/>
      <c r="G379" s="355"/>
      <c r="H379" s="354"/>
      <c r="I379" s="354"/>
      <c r="J379" s="355"/>
      <c r="K379" s="355"/>
      <c r="L379" s="332"/>
      <c r="M379" s="205"/>
      <c r="N379" s="457"/>
      <c r="O379" s="341"/>
      <c r="P379" s="13"/>
      <c r="Q379" s="205"/>
      <c r="R379" s="13"/>
      <c r="S379" s="14"/>
      <c r="T379" s="70" t="s">
        <v>5</v>
      </c>
      <c r="U379" s="64">
        <f>COUNTIF(D363:D382,"목")</f>
        <v>0</v>
      </c>
      <c r="V379" s="65">
        <f>COUNTIF(I363:I382,"목")</f>
        <v>0</v>
      </c>
      <c r="W379" s="64" t="s">
        <v>26</v>
      </c>
      <c r="X379" s="64">
        <f>SUMIF(D363:D382,"목",F363:F382)</f>
        <v>0</v>
      </c>
      <c r="Y379" s="65">
        <f>SUMIF(I363:I382,"목",K363:K382)</f>
        <v>0</v>
      </c>
      <c r="Z379" s="10">
        <f>COUNTIF(AJ363:AJ382,"목국")+COUNTIF(AJ363:AJ382,"목공")</f>
        <v>0</v>
      </c>
      <c r="AA379" s="42">
        <f>COUNTIF(AK363:AK382,"목국")+COUNTIF(AK363:AK382,"목공")</f>
        <v>0</v>
      </c>
      <c r="AB379" s="10" t="s">
        <v>26</v>
      </c>
      <c r="AC379" s="10">
        <f>SUMIF(AJ363:AJ382,"목국",F363:F382)+SUMIF(AJ363:AJ382,"목공",F363:F382)</f>
        <v>0</v>
      </c>
      <c r="AD379" s="42">
        <f>SUMIF(AK363:AK382,"목국",K363:K382)+SUMIF(AK363:AK382,"목공",K363:K382)</f>
        <v>0</v>
      </c>
      <c r="AE379" s="64">
        <f t="shared" si="79"/>
        <v>0</v>
      </c>
      <c r="AF379" s="65">
        <f t="shared" si="79"/>
        <v>0</v>
      </c>
      <c r="AG379" s="64" t="s">
        <v>26</v>
      </c>
      <c r="AH379" s="64">
        <f t="shared" si="80"/>
        <v>0</v>
      </c>
      <c r="AI379" s="65">
        <f t="shared" si="80"/>
        <v>0</v>
      </c>
      <c r="AJ379" s="64" t="str">
        <f t="shared" si="81"/>
        <v/>
      </c>
      <c r="AK379" s="64" t="str">
        <f t="shared" si="82"/>
        <v/>
      </c>
    </row>
    <row r="380" spans="1:60" ht="24" hidden="1" customHeight="1" x14ac:dyDescent="0.15">
      <c r="A380" s="146">
        <v>358</v>
      </c>
      <c r="B380" s="331"/>
      <c r="C380" s="331"/>
      <c r="D380" s="331"/>
      <c r="E380" s="122"/>
      <c r="F380" s="122"/>
      <c r="G380" s="355"/>
      <c r="H380" s="354"/>
      <c r="I380" s="354"/>
      <c r="J380" s="355"/>
      <c r="K380" s="355"/>
      <c r="L380" s="332"/>
      <c r="M380" s="205"/>
      <c r="N380" s="457"/>
      <c r="O380" s="341"/>
      <c r="P380" s="13"/>
      <c r="Q380" s="205"/>
      <c r="R380" s="13"/>
      <c r="S380" s="14"/>
      <c r="T380" s="70"/>
      <c r="U380" s="70"/>
      <c r="V380" s="71"/>
      <c r="W380" s="70"/>
      <c r="X380" s="70"/>
      <c r="Y380" s="71"/>
      <c r="Z380" s="10"/>
      <c r="AA380" s="42"/>
      <c r="AB380" s="11"/>
      <c r="AC380" s="10"/>
      <c r="AD380" s="42"/>
      <c r="AE380" s="70"/>
      <c r="AF380" s="71"/>
      <c r="AG380" s="70"/>
      <c r="AH380" s="70"/>
      <c r="AI380" s="71"/>
      <c r="AJ380" s="64" t="str">
        <f t="shared" si="81"/>
        <v/>
      </c>
      <c r="AK380" s="64" t="str">
        <f t="shared" si="82"/>
        <v/>
      </c>
    </row>
    <row r="381" spans="1:60" ht="24" hidden="1" customHeight="1" x14ac:dyDescent="0.15">
      <c r="A381" s="146">
        <v>359</v>
      </c>
      <c r="B381" s="331"/>
      <c r="C381" s="331"/>
      <c r="D381" s="331"/>
      <c r="E381" s="122"/>
      <c r="F381" s="122"/>
      <c r="G381" s="355"/>
      <c r="H381" s="354"/>
      <c r="I381" s="354"/>
      <c r="J381" s="355"/>
      <c r="K381" s="355"/>
      <c r="L381" s="332"/>
      <c r="M381" s="205"/>
      <c r="N381" s="457"/>
      <c r="O381" s="341"/>
      <c r="P381" s="13"/>
      <c r="Q381" s="205"/>
      <c r="R381" s="13"/>
      <c r="S381" s="14"/>
      <c r="T381" s="70"/>
      <c r="U381" s="70"/>
      <c r="V381" s="71"/>
      <c r="W381" s="70"/>
      <c r="X381" s="70"/>
      <c r="Y381" s="71"/>
      <c r="Z381" s="10"/>
      <c r="AA381" s="42"/>
      <c r="AB381" s="11"/>
      <c r="AC381" s="10"/>
      <c r="AD381" s="42"/>
      <c r="AE381" s="70"/>
      <c r="AF381" s="71"/>
      <c r="AG381" s="70"/>
      <c r="AH381" s="70"/>
      <c r="AI381" s="71"/>
      <c r="AJ381" s="64" t="str">
        <f t="shared" si="81"/>
        <v/>
      </c>
      <c r="AK381" s="64" t="str">
        <f t="shared" si="82"/>
        <v/>
      </c>
    </row>
    <row r="382" spans="1:60" ht="24" hidden="1" customHeight="1" x14ac:dyDescent="0.15">
      <c r="A382" s="146">
        <v>360</v>
      </c>
      <c r="B382" s="331"/>
      <c r="C382" s="331"/>
      <c r="D382" s="331"/>
      <c r="E382" s="122"/>
      <c r="F382" s="122"/>
      <c r="G382" s="355"/>
      <c r="H382" s="354"/>
      <c r="I382" s="354"/>
      <c r="J382" s="355"/>
      <c r="K382" s="355"/>
      <c r="L382" s="332"/>
      <c r="M382" s="205"/>
      <c r="N382" s="457"/>
      <c r="O382" s="341"/>
      <c r="P382" s="13"/>
      <c r="Q382" s="205"/>
      <c r="R382" s="13"/>
      <c r="S382" s="14"/>
      <c r="T382" s="72" t="s">
        <v>37</v>
      </c>
      <c r="U382" s="72">
        <f>COUNTIF(D363:D382,"철")</f>
        <v>0</v>
      </c>
      <c r="V382" s="73">
        <f>COUNTIF(I363:I382,"철")</f>
        <v>0</v>
      </c>
      <c r="W382" s="72" t="s">
        <v>26</v>
      </c>
      <c r="X382" s="72">
        <f>SUMIF(D363:D382,"철",F363:F382)</f>
        <v>0</v>
      </c>
      <c r="Y382" s="73">
        <f>SUMIF(I363:I382,"철",K363:K382)</f>
        <v>0</v>
      </c>
      <c r="Z382" s="10">
        <f>COUNTIF(AJ363:AJ382,"철국")+COUNTIF(AJ363:AJ382,"철공")</f>
        <v>0</v>
      </c>
      <c r="AA382" s="42">
        <f>COUNTIF(AK363:AK382,"철국")+COUNTIF(AK363:AK382,"철공")</f>
        <v>0</v>
      </c>
      <c r="AB382" s="12" t="s">
        <v>26</v>
      </c>
      <c r="AC382" s="10">
        <f>SUMIF(AJ363:AJ382,"철국",F363:F382)+SUMIF(AJ363:AJ382,"철공",F363:F382)</f>
        <v>0</v>
      </c>
      <c r="AD382" s="42">
        <f>SUMIF(AK363:AK382,"철국",K363:K382)+SUMIF(AK363:AK382,"철공",K363:K382)</f>
        <v>0</v>
      </c>
      <c r="AE382" s="72"/>
      <c r="AF382" s="73"/>
      <c r="AG382" s="72"/>
      <c r="AH382" s="72"/>
      <c r="AI382" s="73"/>
      <c r="AJ382" s="64" t="str">
        <f t="shared" si="81"/>
        <v/>
      </c>
      <c r="AK382" s="64" t="str">
        <f t="shared" si="82"/>
        <v/>
      </c>
    </row>
    <row r="383" spans="1:60" ht="24" hidden="1" customHeight="1" thickBot="1" x14ac:dyDescent="0.2">
      <c r="A383" s="1109" t="s">
        <v>48</v>
      </c>
      <c r="B383" s="1110"/>
      <c r="C383" s="1110"/>
      <c r="D383" s="1110"/>
      <c r="E383" s="1111"/>
      <c r="F383" s="149">
        <f>SUM(F363:F382)</f>
        <v>0</v>
      </c>
      <c r="G383" s="542"/>
      <c r="H383" s="543"/>
      <c r="I383" s="543"/>
      <c r="J383" s="542"/>
      <c r="K383" s="544">
        <f>SUM(K363:K382)</f>
        <v>0</v>
      </c>
      <c r="L383" s="545"/>
      <c r="M383" s="546"/>
      <c r="N383" s="547"/>
      <c r="O383" s="548"/>
      <c r="P383" s="564"/>
      <c r="Q383" s="564"/>
      <c r="R383" s="564"/>
      <c r="S383" s="15"/>
      <c r="T383" s="62" t="s">
        <v>24</v>
      </c>
      <c r="U383" s="63">
        <f t="shared" ref="U383:AA383" si="83">SUM(U363:U382)</f>
        <v>0</v>
      </c>
      <c r="V383" s="63">
        <f t="shared" si="83"/>
        <v>0</v>
      </c>
      <c r="W383" s="63">
        <f t="shared" si="83"/>
        <v>0</v>
      </c>
      <c r="X383" s="63">
        <f t="shared" si="83"/>
        <v>0</v>
      </c>
      <c r="Y383" s="63">
        <f t="shared" si="83"/>
        <v>0</v>
      </c>
      <c r="Z383" s="37">
        <f t="shared" si="83"/>
        <v>0</v>
      </c>
      <c r="AA383" s="43">
        <f t="shared" si="83"/>
        <v>0</v>
      </c>
      <c r="AB383" s="37" t="s">
        <v>26</v>
      </c>
      <c r="AC383" s="37">
        <f>SUM(AC363:AC382)</f>
        <v>0</v>
      </c>
      <c r="AD383" s="43">
        <f>SUM(AD363:AD382)</f>
        <v>0</v>
      </c>
      <c r="AE383" s="63">
        <f>SUM(AE363:AE382)</f>
        <v>0</v>
      </c>
      <c r="AF383" s="63">
        <f>SUM(AF363:AF382)</f>
        <v>0</v>
      </c>
      <c r="AG383" s="63" t="s">
        <v>26</v>
      </c>
      <c r="AH383" s="63">
        <f>SUM(AH363:AH382)</f>
        <v>0</v>
      </c>
      <c r="AI383" s="63">
        <f>SUM(AI363:AI382)</f>
        <v>0</v>
      </c>
      <c r="AJ383" s="63"/>
      <c r="AK383" s="57"/>
      <c r="AL383" s="66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</row>
    <row r="384" spans="1:60" ht="24" hidden="1" customHeight="1" x14ac:dyDescent="0.15">
      <c r="A384" s="139">
        <v>361</v>
      </c>
      <c r="B384" s="389"/>
      <c r="C384" s="389"/>
      <c r="D384" s="389"/>
      <c r="E384" s="336"/>
      <c r="F384" s="336"/>
      <c r="G384" s="551"/>
      <c r="H384" s="631"/>
      <c r="I384" s="631"/>
      <c r="J384" s="551"/>
      <c r="K384" s="551"/>
      <c r="L384" s="632"/>
      <c r="M384" s="335"/>
      <c r="N384" s="633"/>
      <c r="O384" s="337"/>
      <c r="P384" s="335"/>
      <c r="Q384" s="335"/>
      <c r="R384" s="335"/>
      <c r="S384" s="391"/>
      <c r="T384" s="64" t="s">
        <v>27</v>
      </c>
      <c r="U384" s="64">
        <f>COUNTIF(D384:D403,"전")</f>
        <v>0</v>
      </c>
      <c r="V384" s="65">
        <f>COUNTIF(I384:I403,"전")</f>
        <v>0</v>
      </c>
      <c r="W384" s="64" t="s">
        <v>26</v>
      </c>
      <c r="X384" s="64">
        <f>SUMIF(D384:D403,"전",F384:F403)</f>
        <v>0</v>
      </c>
      <c r="Y384" s="65">
        <f>SUMIF(I384:I403,"전",K384:K403)</f>
        <v>0</v>
      </c>
      <c r="Z384" s="10">
        <f>COUNTIF(AJ384:AJ403,"전국")+COUNTIF(AJ384:AJ403,"전공")</f>
        <v>0</v>
      </c>
      <c r="AA384" s="42">
        <f>COUNTIF(AK384:AK403,"전국")+COUNTIF(AK384:AK403,"전공")</f>
        <v>0</v>
      </c>
      <c r="AB384" s="10" t="s">
        <v>26</v>
      </c>
      <c r="AC384" s="10">
        <f>SUMIF(AJ384:AJ403,"전국",F384:F403)+SUMIF(AJ384:AJ403,"전공",F384:F403)</f>
        <v>0</v>
      </c>
      <c r="AD384" s="42">
        <f>SUMIF(AK384:AK403,"전국",K384:K403)+SUMIF(AK384:AK403,"전공",K384:K403)</f>
        <v>0</v>
      </c>
      <c r="AE384" s="64">
        <f t="shared" ref="AE384:AF400" si="84">U384-Z384</f>
        <v>0</v>
      </c>
      <c r="AF384" s="65">
        <f t="shared" si="84"/>
        <v>0</v>
      </c>
      <c r="AG384" s="64" t="s">
        <v>26</v>
      </c>
      <c r="AH384" s="64">
        <f t="shared" ref="AH384:AI400" si="85">X384-AC384</f>
        <v>0</v>
      </c>
      <c r="AI384" s="65">
        <f t="shared" si="85"/>
        <v>0</v>
      </c>
      <c r="AJ384" s="64" t="str">
        <f t="shared" ref="AJ384:AJ403" si="86">CONCATENATE(D384,L384)</f>
        <v/>
      </c>
      <c r="AK384" s="64" t="str">
        <f t="shared" ref="AK384:AK403" si="87">CONCATENATE(I384,L384)</f>
        <v/>
      </c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</row>
    <row r="385" spans="1:60" ht="24" hidden="1" customHeight="1" x14ac:dyDescent="0.15">
      <c r="A385" s="146">
        <v>362</v>
      </c>
      <c r="B385" s="331"/>
      <c r="C385" s="331"/>
      <c r="D385" s="331"/>
      <c r="E385" s="122"/>
      <c r="F385" s="122"/>
      <c r="G385" s="355"/>
      <c r="H385" s="354"/>
      <c r="I385" s="354"/>
      <c r="J385" s="355"/>
      <c r="K385" s="355"/>
      <c r="L385" s="332"/>
      <c r="M385" s="205"/>
      <c r="N385" s="457"/>
      <c r="O385" s="341"/>
      <c r="P385" s="205"/>
      <c r="Q385" s="205"/>
      <c r="R385" s="205"/>
      <c r="S385" s="276"/>
      <c r="T385" s="64" t="s">
        <v>28</v>
      </c>
      <c r="U385" s="64">
        <f>COUNTIF(D384:D403,"답")</f>
        <v>0</v>
      </c>
      <c r="V385" s="65">
        <f>COUNTIF(I384:I403,"답")</f>
        <v>0</v>
      </c>
      <c r="W385" s="64" t="s">
        <v>26</v>
      </c>
      <c r="X385" s="64">
        <f>SUMIF(D384:D403,"답",F384:F403)</f>
        <v>0</v>
      </c>
      <c r="Y385" s="65">
        <f>SUMIF(I384:I403,"답",K384:K403)</f>
        <v>0</v>
      </c>
      <c r="Z385" s="10">
        <f>COUNTIF(AJ384:AJ403,"답국")+COUNTIF(AJ384:AJ403,"답공")</f>
        <v>0</v>
      </c>
      <c r="AA385" s="42">
        <f>COUNTIF(AK384:AK403,"답국")+COUNTIF(AK384:AK403,"답공")</f>
        <v>0</v>
      </c>
      <c r="AB385" s="10" t="s">
        <v>26</v>
      </c>
      <c r="AC385" s="10">
        <f>SUMIF(AJ384:AJ403,"답국",F384:F403)+SUMIF(AJ384:AJ403,"답공",F384:F403)</f>
        <v>0</v>
      </c>
      <c r="AD385" s="42">
        <f>SUMIF(AK384:AK403,"답국",K384:K403)+SUMIF(AK384:AK403,"답공",K384:K403)</f>
        <v>0</v>
      </c>
      <c r="AE385" s="64">
        <f t="shared" si="84"/>
        <v>0</v>
      </c>
      <c r="AF385" s="65">
        <f t="shared" si="84"/>
        <v>0</v>
      </c>
      <c r="AG385" s="64" t="s">
        <v>26</v>
      </c>
      <c r="AH385" s="64">
        <f t="shared" si="85"/>
        <v>0</v>
      </c>
      <c r="AI385" s="65">
        <f t="shared" si="85"/>
        <v>0</v>
      </c>
      <c r="AJ385" s="64" t="str">
        <f t="shared" si="86"/>
        <v/>
      </c>
      <c r="AK385" s="64" t="str">
        <f t="shared" si="87"/>
        <v/>
      </c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</row>
    <row r="386" spans="1:60" ht="24" hidden="1" customHeight="1" x14ac:dyDescent="0.15">
      <c r="A386" s="146">
        <v>363</v>
      </c>
      <c r="B386" s="331"/>
      <c r="C386" s="331"/>
      <c r="D386" s="331"/>
      <c r="E386" s="122"/>
      <c r="F386" s="122"/>
      <c r="G386" s="355"/>
      <c r="H386" s="354"/>
      <c r="I386" s="354"/>
      <c r="J386" s="355"/>
      <c r="K386" s="355"/>
      <c r="L386" s="332"/>
      <c r="M386" s="205"/>
      <c r="N386" s="457"/>
      <c r="O386" s="341"/>
      <c r="P386" s="205"/>
      <c r="Q386" s="205"/>
      <c r="R386" s="205"/>
      <c r="S386" s="276"/>
      <c r="T386" s="64" t="s">
        <v>44</v>
      </c>
      <c r="U386" s="64">
        <f>COUNTIF(D384:D403,"임")</f>
        <v>0</v>
      </c>
      <c r="V386" s="65">
        <f>COUNTIF(I384:I403,"임")</f>
        <v>0</v>
      </c>
      <c r="W386" s="64" t="s">
        <v>26</v>
      </c>
      <c r="X386" s="64">
        <f>SUMIF(D384:D403,"임",F384:F403)</f>
        <v>0</v>
      </c>
      <c r="Y386" s="65">
        <f>SUMIF(I384:I403,"임",K384:K403)</f>
        <v>0</v>
      </c>
      <c r="Z386" s="10">
        <f>COUNTIF(AJ384:AJ403,"임국")+COUNTIF(AJ384:AJ403,"임공")</f>
        <v>0</v>
      </c>
      <c r="AA386" s="42">
        <f>COUNTIF(AK384:AK403,"임국")+COUNTIF(AK384:AK403,"임공")</f>
        <v>0</v>
      </c>
      <c r="AB386" s="10" t="s">
        <v>26</v>
      </c>
      <c r="AC386" s="10">
        <f>SUMIF(AJ384:AJ403,"임국",F384:F403)+SUMIF(AJ384:AJ403,"임공",F384:F403)</f>
        <v>0</v>
      </c>
      <c r="AD386" s="42">
        <f>SUMIF(AK384:AK403,"임국",K384:K403)+SUMIF(AK384:AK403,"임공",K384:K403)</f>
        <v>0</v>
      </c>
      <c r="AE386" s="64">
        <f t="shared" si="84"/>
        <v>0</v>
      </c>
      <c r="AF386" s="65">
        <f t="shared" si="84"/>
        <v>0</v>
      </c>
      <c r="AG386" s="64" t="s">
        <v>26</v>
      </c>
      <c r="AH386" s="64">
        <f t="shared" si="85"/>
        <v>0</v>
      </c>
      <c r="AI386" s="65">
        <f t="shared" si="85"/>
        <v>0</v>
      </c>
      <c r="AJ386" s="64" t="str">
        <f t="shared" si="86"/>
        <v/>
      </c>
      <c r="AK386" s="64" t="str">
        <f t="shared" si="87"/>
        <v/>
      </c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</row>
    <row r="387" spans="1:60" ht="24" hidden="1" customHeight="1" x14ac:dyDescent="0.15">
      <c r="A387" s="146">
        <v>364</v>
      </c>
      <c r="B387" s="331"/>
      <c r="C387" s="331"/>
      <c r="D387" s="331"/>
      <c r="E387" s="122"/>
      <c r="F387" s="122"/>
      <c r="G387" s="355"/>
      <c r="H387" s="354"/>
      <c r="I387" s="354"/>
      <c r="J387" s="355"/>
      <c r="K387" s="355"/>
      <c r="L387" s="332"/>
      <c r="M387" s="205"/>
      <c r="N387" s="457"/>
      <c r="O387" s="341"/>
      <c r="P387" s="205"/>
      <c r="Q387" s="205"/>
      <c r="R387" s="205"/>
      <c r="S387" s="276"/>
      <c r="T387" s="64" t="s">
        <v>45</v>
      </c>
      <c r="U387" s="64">
        <f>COUNTIF(D384:D403,"대")</f>
        <v>0</v>
      </c>
      <c r="V387" s="65">
        <f>COUNTIF(I384:I403,"대")</f>
        <v>0</v>
      </c>
      <c r="W387" s="64" t="s">
        <v>26</v>
      </c>
      <c r="X387" s="64">
        <f>SUMIF(D384:D403,"대",F384:F403)</f>
        <v>0</v>
      </c>
      <c r="Y387" s="65">
        <f>SUMIF(I384:I403,"대",K384:K403)</f>
        <v>0</v>
      </c>
      <c r="Z387" s="10">
        <f>COUNTIF(AJ384:AJ403,"대국")+COUNTIF(AJ384:AJ403,"대공")</f>
        <v>0</v>
      </c>
      <c r="AA387" s="42">
        <f>COUNTIF(AK384:AK403,"대국")+COUNTIF(AK384:AK403,"대공")</f>
        <v>0</v>
      </c>
      <c r="AB387" s="10" t="s">
        <v>26</v>
      </c>
      <c r="AC387" s="10">
        <f>SUMIF(AJ384:AJ403,"대국",F384:F403)+SUMIF(AJ384:AJ403,"대공",F384:F403)</f>
        <v>0</v>
      </c>
      <c r="AD387" s="42">
        <f>SUMIF(AK384:AK403,"대국",K384:K403)+SUMIF(AK384:AK403,"대공",K384:K403)</f>
        <v>0</v>
      </c>
      <c r="AE387" s="64">
        <f t="shared" si="84"/>
        <v>0</v>
      </c>
      <c r="AF387" s="65">
        <f t="shared" si="84"/>
        <v>0</v>
      </c>
      <c r="AG387" s="64" t="s">
        <v>26</v>
      </c>
      <c r="AH387" s="64">
        <f t="shared" si="85"/>
        <v>0</v>
      </c>
      <c r="AI387" s="65">
        <f t="shared" si="85"/>
        <v>0</v>
      </c>
      <c r="AJ387" s="64" t="str">
        <f t="shared" si="86"/>
        <v/>
      </c>
      <c r="AK387" s="64" t="str">
        <f t="shared" si="87"/>
        <v/>
      </c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</row>
    <row r="388" spans="1:60" ht="24" hidden="1" customHeight="1" x14ac:dyDescent="0.15">
      <c r="A388" s="146">
        <v>365</v>
      </c>
      <c r="B388" s="331"/>
      <c r="C388" s="331"/>
      <c r="D388" s="331"/>
      <c r="E388" s="122"/>
      <c r="F388" s="122"/>
      <c r="G388" s="355"/>
      <c r="H388" s="354"/>
      <c r="I388" s="354"/>
      <c r="J388" s="355"/>
      <c r="K388" s="355"/>
      <c r="L388" s="332"/>
      <c r="M388" s="205"/>
      <c r="N388" s="457"/>
      <c r="O388" s="341"/>
      <c r="P388" s="205"/>
      <c r="Q388" s="205"/>
      <c r="R388" s="205"/>
      <c r="S388" s="276"/>
      <c r="T388" s="64" t="s">
        <v>31</v>
      </c>
      <c r="U388" s="64">
        <f>COUNTIF(D384:D403,"도")</f>
        <v>0</v>
      </c>
      <c r="V388" s="65">
        <f>COUNTIF(I384:I403,"도")</f>
        <v>0</v>
      </c>
      <c r="W388" s="64" t="s">
        <v>26</v>
      </c>
      <c r="X388" s="64">
        <f>SUMIF(D384:D403,"도",F384:F403)</f>
        <v>0</v>
      </c>
      <c r="Y388" s="65">
        <f>SUMIF(I384:I403,"도",K384:K403)</f>
        <v>0</v>
      </c>
      <c r="Z388" s="10">
        <f>COUNTIF(AJ384:AJ403,"도국")+COUNTIF(AJ384:AJ403,"도공")</f>
        <v>0</v>
      </c>
      <c r="AA388" s="42">
        <f>COUNTIF(AK384:AK403,"도국")+COUNTIF(AK384:AK403,"도공")</f>
        <v>0</v>
      </c>
      <c r="AB388" s="10" t="s">
        <v>26</v>
      </c>
      <c r="AC388" s="10">
        <f>SUMIF(AJ384:AJ403,"도국",F384:F403)+SUMIF(AJ384:AJ403,"도공",F384:F403)</f>
        <v>0</v>
      </c>
      <c r="AD388" s="42">
        <f>SUMIF(AK384:AK403,"도국",K384:K403)+SUMIF(AK384:AK403,"도공",K384:K403)</f>
        <v>0</v>
      </c>
      <c r="AE388" s="64">
        <f t="shared" si="84"/>
        <v>0</v>
      </c>
      <c r="AF388" s="65">
        <f t="shared" si="84"/>
        <v>0</v>
      </c>
      <c r="AG388" s="64" t="s">
        <v>26</v>
      </c>
      <c r="AH388" s="64">
        <f t="shared" si="85"/>
        <v>0</v>
      </c>
      <c r="AI388" s="65">
        <f t="shared" si="85"/>
        <v>0</v>
      </c>
      <c r="AJ388" s="64" t="str">
        <f t="shared" si="86"/>
        <v/>
      </c>
      <c r="AK388" s="64" t="str">
        <f t="shared" si="87"/>
        <v/>
      </c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</row>
    <row r="389" spans="1:60" ht="24" hidden="1" customHeight="1" x14ac:dyDescent="0.15">
      <c r="A389" s="146">
        <v>366</v>
      </c>
      <c r="B389" s="331"/>
      <c r="C389" s="331"/>
      <c r="D389" s="331"/>
      <c r="E389" s="122"/>
      <c r="F389" s="122"/>
      <c r="G389" s="355"/>
      <c r="H389" s="354"/>
      <c r="I389" s="354"/>
      <c r="J389" s="355"/>
      <c r="K389" s="355"/>
      <c r="L389" s="332"/>
      <c r="M389" s="205"/>
      <c r="N389" s="457"/>
      <c r="O389" s="341"/>
      <c r="P389" s="205"/>
      <c r="Q389" s="205"/>
      <c r="R389" s="205"/>
      <c r="S389" s="276"/>
      <c r="T389" s="64" t="s">
        <v>32</v>
      </c>
      <c r="U389" s="68">
        <f>COUNTIF(D384:D403,"천")</f>
        <v>0</v>
      </c>
      <c r="V389" s="69">
        <f>COUNTIF(I384:I403,"천")</f>
        <v>0</v>
      </c>
      <c r="W389" s="64" t="s">
        <v>26</v>
      </c>
      <c r="X389" s="64">
        <f>SUMIF(D384:D403,"천",F384:F403)</f>
        <v>0</v>
      </c>
      <c r="Y389" s="65">
        <f>SUMIF(I384:I403,"천",K384:K403)</f>
        <v>0</v>
      </c>
      <c r="Z389" s="10">
        <f>COUNTIF(AJ384:AJ403,"천국")+COUNTIF(AJ384:AJ403,"천공")</f>
        <v>0</v>
      </c>
      <c r="AA389" s="42">
        <f>COUNTIF(AK384:AK403,"천국")+COUNTIF(AK384:AK403,"천공")</f>
        <v>0</v>
      </c>
      <c r="AB389" s="10" t="s">
        <v>26</v>
      </c>
      <c r="AC389" s="10">
        <f>SUMIF(AJ384:AJ403,"천국",F384:F403)+SUMIF(AJ384:AJ403,"천공",F384:F403)</f>
        <v>0</v>
      </c>
      <c r="AD389" s="42">
        <f>SUMIF(AK384:AK403,"천국",K384:K403)+SUMIF(AK384:AK403,"천공",K384:K403)</f>
        <v>0</v>
      </c>
      <c r="AE389" s="64">
        <f t="shared" si="84"/>
        <v>0</v>
      </c>
      <c r="AF389" s="65">
        <f t="shared" si="84"/>
        <v>0</v>
      </c>
      <c r="AG389" s="64" t="s">
        <v>26</v>
      </c>
      <c r="AH389" s="64">
        <f t="shared" si="85"/>
        <v>0</v>
      </c>
      <c r="AI389" s="65">
        <f t="shared" si="85"/>
        <v>0</v>
      </c>
      <c r="AJ389" s="64" t="str">
        <f t="shared" si="86"/>
        <v/>
      </c>
      <c r="AK389" s="64" t="str">
        <f t="shared" si="87"/>
        <v/>
      </c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</row>
    <row r="390" spans="1:60" ht="24" hidden="1" customHeight="1" x14ac:dyDescent="0.15">
      <c r="A390" s="146">
        <v>367</v>
      </c>
      <c r="B390" s="331"/>
      <c r="C390" s="331"/>
      <c r="D390" s="331"/>
      <c r="E390" s="122"/>
      <c r="F390" s="122"/>
      <c r="G390" s="355"/>
      <c r="H390" s="354"/>
      <c r="I390" s="354"/>
      <c r="J390" s="355"/>
      <c r="K390" s="355"/>
      <c r="L390" s="332"/>
      <c r="M390" s="205"/>
      <c r="N390" s="457"/>
      <c r="O390" s="341"/>
      <c r="P390" s="205"/>
      <c r="Q390" s="205"/>
      <c r="R390" s="205"/>
      <c r="S390" s="276"/>
      <c r="T390" s="64" t="s">
        <v>33</v>
      </c>
      <c r="U390" s="64">
        <f>COUNTIF(D384:D403,"구")</f>
        <v>0</v>
      </c>
      <c r="V390" s="65">
        <f>COUNTIF(I384:I403,"구")</f>
        <v>0</v>
      </c>
      <c r="W390" s="64" t="s">
        <v>26</v>
      </c>
      <c r="X390" s="64">
        <f>SUMIF(D384:D403,"구",F384:F403)</f>
        <v>0</v>
      </c>
      <c r="Y390" s="65">
        <f>SUMIF(I384:I403,"구",K384:K403)</f>
        <v>0</v>
      </c>
      <c r="Z390" s="10">
        <f>COUNTIF(AJ384:AJ403,"구국")+COUNTIF(AJ384:AJ403,"구공")</f>
        <v>0</v>
      </c>
      <c r="AA390" s="42">
        <f>COUNTIF(AK384:AK403,"구국")+COUNTIF(AK384:AK403,"구공")</f>
        <v>0</v>
      </c>
      <c r="AB390" s="10" t="s">
        <v>26</v>
      </c>
      <c r="AC390" s="10">
        <f>SUMIF(AJ384:AJ403,"구국",F384:F403)+SUMIF(AJ384:AJ403,"구공",F384:F403)</f>
        <v>0</v>
      </c>
      <c r="AD390" s="42">
        <f>SUMIF(AK384:AK403,"구국",K384:K403)+SUMIF(AK384:AK403,"구공",K384:K403)</f>
        <v>0</v>
      </c>
      <c r="AE390" s="64">
        <f t="shared" si="84"/>
        <v>0</v>
      </c>
      <c r="AF390" s="65">
        <f t="shared" si="84"/>
        <v>0</v>
      </c>
      <c r="AG390" s="64" t="s">
        <v>26</v>
      </c>
      <c r="AH390" s="64">
        <f t="shared" si="85"/>
        <v>0</v>
      </c>
      <c r="AI390" s="65">
        <f t="shared" si="85"/>
        <v>0</v>
      </c>
      <c r="AJ390" s="64" t="str">
        <f t="shared" si="86"/>
        <v/>
      </c>
      <c r="AK390" s="64" t="str">
        <f t="shared" si="87"/>
        <v/>
      </c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</row>
    <row r="391" spans="1:60" ht="24" hidden="1" customHeight="1" x14ac:dyDescent="0.15">
      <c r="A391" s="146">
        <v>368</v>
      </c>
      <c r="B391" s="331"/>
      <c r="C391" s="331"/>
      <c r="D391" s="331"/>
      <c r="E391" s="122"/>
      <c r="F391" s="122"/>
      <c r="G391" s="355"/>
      <c r="H391" s="354"/>
      <c r="I391" s="354"/>
      <c r="J391" s="355"/>
      <c r="K391" s="355"/>
      <c r="L391" s="332"/>
      <c r="M391" s="205"/>
      <c r="N391" s="457"/>
      <c r="O391" s="341"/>
      <c r="P391" s="205"/>
      <c r="Q391" s="205"/>
      <c r="R391" s="205"/>
      <c r="S391" s="276"/>
      <c r="T391" s="64" t="s">
        <v>34</v>
      </c>
      <c r="U391" s="64">
        <f>COUNTIF(D384:D403,"제")</f>
        <v>0</v>
      </c>
      <c r="V391" s="65">
        <f>COUNTIF(I384:I403,"제")</f>
        <v>0</v>
      </c>
      <c r="W391" s="64" t="s">
        <v>26</v>
      </c>
      <c r="X391" s="64">
        <f>SUMIF(D384:D403,"제",F384:F403)</f>
        <v>0</v>
      </c>
      <c r="Y391" s="65">
        <f>SUMIF(I384:I403,"제",K384:K403)</f>
        <v>0</v>
      </c>
      <c r="Z391" s="10">
        <f>COUNTIF(AJ384:AJ403,"제국")+COUNTIF(AJ384:AJ403,"제공")</f>
        <v>0</v>
      </c>
      <c r="AA391" s="42">
        <f>COUNTIF(AK384:AK403,"제국")+COUNTIF(AK384:AK403,"제공")</f>
        <v>0</v>
      </c>
      <c r="AB391" s="10" t="s">
        <v>26</v>
      </c>
      <c r="AC391" s="10">
        <f>SUMIF(AJ384:AJ403,"제국",F384:F403)+SUMIF(AJ384:AJ403,"제공",F384:F403)</f>
        <v>0</v>
      </c>
      <c r="AD391" s="42">
        <f>SUMIF(AK384:AK403,"제국",K384:K403)+SUMIF(AK384:AK403,"제공",K384:K403)</f>
        <v>0</v>
      </c>
      <c r="AE391" s="64">
        <f t="shared" si="84"/>
        <v>0</v>
      </c>
      <c r="AF391" s="65">
        <f t="shared" si="84"/>
        <v>0</v>
      </c>
      <c r="AG391" s="64" t="s">
        <v>26</v>
      </c>
      <c r="AH391" s="64">
        <f t="shared" si="85"/>
        <v>0</v>
      </c>
      <c r="AI391" s="65">
        <f t="shared" si="85"/>
        <v>0</v>
      </c>
      <c r="AJ391" s="64" t="str">
        <f t="shared" si="86"/>
        <v/>
      </c>
      <c r="AK391" s="64" t="str">
        <f t="shared" si="87"/>
        <v/>
      </c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</row>
    <row r="392" spans="1:60" ht="24" hidden="1" customHeight="1" x14ac:dyDescent="0.15">
      <c r="A392" s="146">
        <v>369</v>
      </c>
      <c r="B392" s="331"/>
      <c r="C392" s="331"/>
      <c r="D392" s="331"/>
      <c r="E392" s="122"/>
      <c r="F392" s="122"/>
      <c r="G392" s="355"/>
      <c r="H392" s="354"/>
      <c r="I392" s="354"/>
      <c r="J392" s="355"/>
      <c r="K392" s="355"/>
      <c r="L392" s="332"/>
      <c r="M392" s="205"/>
      <c r="N392" s="457"/>
      <c r="O392" s="341"/>
      <c r="P392" s="205"/>
      <c r="Q392" s="205"/>
      <c r="R392" s="205"/>
      <c r="S392" s="276"/>
      <c r="T392" s="64" t="s">
        <v>46</v>
      </c>
      <c r="U392" s="64">
        <f>COUNTIF(D384:D403,"유")</f>
        <v>0</v>
      </c>
      <c r="V392" s="65">
        <f>COUNTIF(I384:I403,"유")</f>
        <v>0</v>
      </c>
      <c r="W392" s="64" t="s">
        <v>26</v>
      </c>
      <c r="X392" s="64">
        <f>SUMIF(D384:D403,"유",F384:F403)</f>
        <v>0</v>
      </c>
      <c r="Y392" s="65">
        <f>SUMIF(I384:I403,"유",K384:K403)</f>
        <v>0</v>
      </c>
      <c r="Z392" s="10">
        <f>COUNTIF(AJ384:AJ403,"유국")+COUNTIF(AJ384:AJ403,"유공")</f>
        <v>0</v>
      </c>
      <c r="AA392" s="42">
        <f>COUNTIF(AK384:AK403,"유국")+COUNTIF(AK384:AK403,"유공")</f>
        <v>0</v>
      </c>
      <c r="AB392" s="10" t="s">
        <v>26</v>
      </c>
      <c r="AC392" s="10">
        <f>SUMIF(AJ384:AJ403,"유국",F384:F403)+SUMIF(AJ384:AJ403,"유공",F384:F403)</f>
        <v>0</v>
      </c>
      <c r="AD392" s="42">
        <f>SUMIF(AK384:AK403,"유국",K384:K403)+SUMIF(AK384:AK403,"유공",K384:K403)</f>
        <v>0</v>
      </c>
      <c r="AE392" s="64">
        <f t="shared" si="84"/>
        <v>0</v>
      </c>
      <c r="AF392" s="65">
        <f t="shared" si="84"/>
        <v>0</v>
      </c>
      <c r="AG392" s="64" t="s">
        <v>26</v>
      </c>
      <c r="AH392" s="64">
        <f t="shared" si="85"/>
        <v>0</v>
      </c>
      <c r="AI392" s="65">
        <f t="shared" si="85"/>
        <v>0</v>
      </c>
      <c r="AJ392" s="64" t="str">
        <f t="shared" si="86"/>
        <v/>
      </c>
      <c r="AK392" s="64" t="str">
        <f t="shared" si="87"/>
        <v/>
      </c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</row>
    <row r="393" spans="1:60" ht="24" hidden="1" customHeight="1" x14ac:dyDescent="0.15">
      <c r="A393" s="146">
        <v>370</v>
      </c>
      <c r="B393" s="331"/>
      <c r="C393" s="331"/>
      <c r="D393" s="331"/>
      <c r="E393" s="122"/>
      <c r="F393" s="122"/>
      <c r="G393" s="355"/>
      <c r="H393" s="354"/>
      <c r="I393" s="354"/>
      <c r="J393" s="355"/>
      <c r="K393" s="355"/>
      <c r="L393" s="332"/>
      <c r="M393" s="205"/>
      <c r="N393" s="457"/>
      <c r="O393" s="341"/>
      <c r="P393" s="205"/>
      <c r="Q393" s="205"/>
      <c r="R393" s="205"/>
      <c r="S393" s="276"/>
      <c r="T393" s="64" t="s">
        <v>47</v>
      </c>
      <c r="U393" s="64">
        <f>COUNTIF(D384:D403,"과")</f>
        <v>0</v>
      </c>
      <c r="V393" s="65">
        <f>COUNTIF(I384:I403,"과")</f>
        <v>0</v>
      </c>
      <c r="W393" s="64" t="s">
        <v>26</v>
      </c>
      <c r="X393" s="64">
        <f>SUMIF(D384:D403,"과",F384:F403)</f>
        <v>0</v>
      </c>
      <c r="Y393" s="65">
        <f>SUMIF(I384:I403,"과",K384:K403)</f>
        <v>0</v>
      </c>
      <c r="Z393" s="10">
        <f>COUNTIF(AJ384:AJ403,"과국")+COUNTIF(AJ384:AJ403,"과공")</f>
        <v>0</v>
      </c>
      <c r="AA393" s="42">
        <f>COUNTIF(AK384:AK403,"과국")+COUNTIF(AK384:AK403,"과공")</f>
        <v>0</v>
      </c>
      <c r="AB393" s="10" t="s">
        <v>26</v>
      </c>
      <c r="AC393" s="10">
        <f>SUMIF(AJ384:AJ403,"과국",F384:F403)+SUMIF(AJ384:AJ403,"과공",F384:F403)</f>
        <v>0</v>
      </c>
      <c r="AD393" s="42">
        <f>SUMIF(AK384:AK403,"과국",K384:K403)+SUMIF(AK384:AK403,"과공",K384:K403)</f>
        <v>0</v>
      </c>
      <c r="AE393" s="64">
        <f t="shared" si="84"/>
        <v>0</v>
      </c>
      <c r="AF393" s="65">
        <f t="shared" si="84"/>
        <v>0</v>
      </c>
      <c r="AG393" s="64" t="s">
        <v>26</v>
      </c>
      <c r="AH393" s="64">
        <f t="shared" si="85"/>
        <v>0</v>
      </c>
      <c r="AI393" s="65">
        <f t="shared" si="85"/>
        <v>0</v>
      </c>
      <c r="AJ393" s="64" t="str">
        <f t="shared" si="86"/>
        <v/>
      </c>
      <c r="AK393" s="64" t="str">
        <f t="shared" si="87"/>
        <v/>
      </c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</row>
    <row r="394" spans="1:60" ht="24" hidden="1" customHeight="1" x14ac:dyDescent="0.15">
      <c r="A394" s="146">
        <v>371</v>
      </c>
      <c r="B394" s="331"/>
      <c r="C394" s="331"/>
      <c r="D394" s="331"/>
      <c r="E394" s="122"/>
      <c r="F394" s="122"/>
      <c r="G394" s="355"/>
      <c r="H394" s="354"/>
      <c r="I394" s="354"/>
      <c r="J394" s="355"/>
      <c r="K394" s="355"/>
      <c r="L394" s="332"/>
      <c r="M394" s="205"/>
      <c r="N394" s="457"/>
      <c r="O394" s="341"/>
      <c r="P394" s="205"/>
      <c r="Q394" s="205"/>
      <c r="R394" s="205"/>
      <c r="S394" s="276"/>
      <c r="T394" s="64" t="s">
        <v>36</v>
      </c>
      <c r="U394" s="64">
        <f>COUNTIF(D384:D403,"묘")</f>
        <v>0</v>
      </c>
      <c r="V394" s="65">
        <f>COUNTIF(I384:I403,"묘")</f>
        <v>0</v>
      </c>
      <c r="W394" s="64" t="s">
        <v>26</v>
      </c>
      <c r="X394" s="64">
        <f>SUMIF(D384:D403,"묘",F384:F403)</f>
        <v>0</v>
      </c>
      <c r="Y394" s="65">
        <f>SUMIF(I384:I403,"묘",K384:K403)</f>
        <v>0</v>
      </c>
      <c r="Z394" s="10">
        <f>COUNTIF(AJ384:AJ403,"묘국")+COUNTIF(AJ384:AJ403,"묘공")</f>
        <v>0</v>
      </c>
      <c r="AA394" s="42">
        <f>COUNTIF(AK384:AK403,"묘국")+COUNTIF(AK384:AK403,"묘공")</f>
        <v>0</v>
      </c>
      <c r="AB394" s="10" t="s">
        <v>26</v>
      </c>
      <c r="AC394" s="10">
        <f>SUMIF(AJ384:AJ403,"묘국",F384:F403)+SUMIF(AJ384:AJ403,"묘공",F384:F403)</f>
        <v>0</v>
      </c>
      <c r="AD394" s="42">
        <f>SUMIF(AK384:AK403,"묘국",K384:K403)+SUMIF(AK384:AK403,"묘공",K384:K403)</f>
        <v>0</v>
      </c>
      <c r="AE394" s="64">
        <f t="shared" si="84"/>
        <v>0</v>
      </c>
      <c r="AF394" s="65">
        <f t="shared" si="84"/>
        <v>0</v>
      </c>
      <c r="AG394" s="64" t="s">
        <v>26</v>
      </c>
      <c r="AH394" s="64">
        <f t="shared" si="85"/>
        <v>0</v>
      </c>
      <c r="AI394" s="65">
        <f t="shared" si="85"/>
        <v>0</v>
      </c>
      <c r="AJ394" s="64" t="str">
        <f t="shared" si="86"/>
        <v/>
      </c>
      <c r="AK394" s="64" t="str">
        <f t="shared" si="87"/>
        <v/>
      </c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</row>
    <row r="395" spans="1:60" ht="24" hidden="1" customHeight="1" x14ac:dyDescent="0.15">
      <c r="A395" s="146">
        <v>372</v>
      </c>
      <c r="B395" s="331"/>
      <c r="C395" s="331"/>
      <c r="D395" s="331"/>
      <c r="E395" s="122"/>
      <c r="F395" s="122"/>
      <c r="G395" s="355"/>
      <c r="H395" s="354"/>
      <c r="I395" s="354"/>
      <c r="J395" s="355"/>
      <c r="K395" s="355"/>
      <c r="L395" s="332"/>
      <c r="M395" s="205"/>
      <c r="N395" s="457"/>
      <c r="O395" s="341"/>
      <c r="P395" s="13"/>
      <c r="Q395" s="205"/>
      <c r="R395" s="13"/>
      <c r="S395" s="14"/>
      <c r="T395" s="64" t="s">
        <v>39</v>
      </c>
      <c r="U395" s="64">
        <f>COUNTIF(D384:D403,"수")</f>
        <v>0</v>
      </c>
      <c r="V395" s="65">
        <f>COUNTIF(I384:I403,"수")</f>
        <v>0</v>
      </c>
      <c r="W395" s="64" t="s">
        <v>26</v>
      </c>
      <c r="X395" s="64">
        <f>SUMIF(D384:D403,"수",F384:F403)</f>
        <v>0</v>
      </c>
      <c r="Y395" s="65">
        <f>SUMIF(I384:I403,"수",K384:K403)</f>
        <v>0</v>
      </c>
      <c r="Z395" s="10">
        <f>COUNTIF(AJ384:AJ403,"수국")+COUNTIF(AJ384:AJ403,"수공")</f>
        <v>0</v>
      </c>
      <c r="AA395" s="42">
        <f>COUNTIF(AK384:AK403,"수국")+COUNTIF(AK384:AK403,"수공")</f>
        <v>0</v>
      </c>
      <c r="AB395" s="10" t="s">
        <v>26</v>
      </c>
      <c r="AC395" s="10">
        <f>SUMIF(AJ384:AJ403,"수국",F384:F403)+SUMIF(AJ384:AJ403,"수공",F384:F403)</f>
        <v>0</v>
      </c>
      <c r="AD395" s="42">
        <f>SUMIF(AK384:AK403,"수국",K384:K403)+SUMIF(AK384:AK403,"수공",K384:K403)</f>
        <v>0</v>
      </c>
      <c r="AE395" s="64">
        <f t="shared" si="84"/>
        <v>0</v>
      </c>
      <c r="AF395" s="65">
        <f t="shared" si="84"/>
        <v>0</v>
      </c>
      <c r="AG395" s="64" t="s">
        <v>26</v>
      </c>
      <c r="AH395" s="64">
        <f t="shared" si="85"/>
        <v>0</v>
      </c>
      <c r="AI395" s="65">
        <f t="shared" si="85"/>
        <v>0</v>
      </c>
      <c r="AJ395" s="64" t="str">
        <f t="shared" si="86"/>
        <v/>
      </c>
      <c r="AK395" s="64" t="str">
        <f t="shared" si="87"/>
        <v/>
      </c>
    </row>
    <row r="396" spans="1:60" ht="24" hidden="1" customHeight="1" x14ac:dyDescent="0.15">
      <c r="A396" s="146">
        <v>373</v>
      </c>
      <c r="B396" s="331"/>
      <c r="C396" s="331"/>
      <c r="D396" s="331"/>
      <c r="E396" s="122"/>
      <c r="F396" s="122"/>
      <c r="G396" s="355"/>
      <c r="H396" s="354"/>
      <c r="I396" s="354"/>
      <c r="J396" s="355"/>
      <c r="K396" s="355"/>
      <c r="L396" s="332"/>
      <c r="M396" s="205"/>
      <c r="N396" s="457"/>
      <c r="O396" s="341"/>
      <c r="P396" s="13"/>
      <c r="Q396" s="205"/>
      <c r="R396" s="13"/>
      <c r="S396" s="14"/>
      <c r="T396" s="64" t="s">
        <v>35</v>
      </c>
      <c r="U396" s="64">
        <f>COUNTIF(D384:D403,"잡")</f>
        <v>0</v>
      </c>
      <c r="V396" s="65">
        <f>COUNTIF(I384:I403,"잡")</f>
        <v>0</v>
      </c>
      <c r="W396" s="64" t="s">
        <v>26</v>
      </c>
      <c r="X396" s="64">
        <f>SUMIF(D384:D403,"잡",F384:F403)</f>
        <v>0</v>
      </c>
      <c r="Y396" s="65">
        <f>SUMIF(I384:I403,"잡",K384:K403)</f>
        <v>0</v>
      </c>
      <c r="Z396" s="10">
        <f>COUNTIF(AJ384:AJ403,"잡국")+COUNTIF(AJ384:AJ403,"잡공")</f>
        <v>0</v>
      </c>
      <c r="AA396" s="42">
        <f>COUNTIF(AK384:AK403,"잡국")+COUNTIF(AK384:AK403,"잡공")</f>
        <v>0</v>
      </c>
      <c r="AB396" s="10" t="s">
        <v>26</v>
      </c>
      <c r="AC396" s="10">
        <f>SUMIF(AJ384:AJ403,"잡국",F384:F403)+SUMIF(AJ384:AJ403,"잡공",F384:F403)</f>
        <v>0</v>
      </c>
      <c r="AD396" s="42">
        <f>SUMIF(AK384:AK403,"잡국",K384:K403)+SUMIF(AK384:AK403,"잡공",K384:K403)</f>
        <v>0</v>
      </c>
      <c r="AE396" s="64">
        <f t="shared" si="84"/>
        <v>0</v>
      </c>
      <c r="AF396" s="65">
        <f t="shared" si="84"/>
        <v>0</v>
      </c>
      <c r="AG396" s="64" t="s">
        <v>26</v>
      </c>
      <c r="AH396" s="64">
        <f t="shared" si="85"/>
        <v>0</v>
      </c>
      <c r="AI396" s="65">
        <f t="shared" si="85"/>
        <v>0</v>
      </c>
      <c r="AJ396" s="64" t="str">
        <f t="shared" si="86"/>
        <v/>
      </c>
      <c r="AK396" s="64" t="str">
        <f t="shared" si="87"/>
        <v/>
      </c>
    </row>
    <row r="397" spans="1:60" ht="24" hidden="1" customHeight="1" x14ac:dyDescent="0.15">
      <c r="A397" s="146">
        <v>374</v>
      </c>
      <c r="B397" s="331"/>
      <c r="C397" s="331"/>
      <c r="D397" s="331"/>
      <c r="E397" s="122"/>
      <c r="F397" s="122"/>
      <c r="G397" s="355"/>
      <c r="H397" s="354"/>
      <c r="I397" s="354"/>
      <c r="J397" s="355"/>
      <c r="K397" s="355"/>
      <c r="L397" s="332"/>
      <c r="M397" s="205"/>
      <c r="N397" s="457"/>
      <c r="O397" s="341"/>
      <c r="P397" s="13"/>
      <c r="Q397" s="205"/>
      <c r="R397" s="13"/>
      <c r="S397" s="14"/>
      <c r="T397" s="64" t="s">
        <v>51</v>
      </c>
      <c r="U397" s="64">
        <f>COUNTIF(D384:D403,"체")</f>
        <v>0</v>
      </c>
      <c r="V397" s="65">
        <f>COUNTIF(I384:I403,"체")</f>
        <v>0</v>
      </c>
      <c r="W397" s="64" t="s">
        <v>26</v>
      </c>
      <c r="X397" s="64">
        <f>SUMIF(D384:D403,"체",F384:F403)</f>
        <v>0</v>
      </c>
      <c r="Y397" s="65">
        <f>SUMIF(I384:I403,"체",K384:K403)</f>
        <v>0</v>
      </c>
      <c r="Z397" s="10">
        <f>COUNTIF(AJ384:AJ403,"체국")+COUNTIF(AJ384:AJ403,"체공")</f>
        <v>0</v>
      </c>
      <c r="AA397" s="42">
        <f>COUNTIF(AK384:AK403,"체국")+COUNTIF(AK384:AK403,"체공")</f>
        <v>0</v>
      </c>
      <c r="AB397" s="10" t="s">
        <v>26</v>
      </c>
      <c r="AC397" s="10">
        <f>SUMIF(AJ384:AJ403,"체국",F384:F403)+SUMIF(AJ384:AJ403,"체공",F384:F403)</f>
        <v>0</v>
      </c>
      <c r="AD397" s="42">
        <f>SUMIF(AK384:AK403,"체국",K384:K403)+SUMIF(AK384:AK403,"체공",K384:K403)</f>
        <v>0</v>
      </c>
      <c r="AE397" s="64">
        <f t="shared" si="84"/>
        <v>0</v>
      </c>
      <c r="AF397" s="65">
        <f t="shared" si="84"/>
        <v>0</v>
      </c>
      <c r="AG397" s="64" t="s">
        <v>26</v>
      </c>
      <c r="AH397" s="64">
        <f t="shared" si="85"/>
        <v>0</v>
      </c>
      <c r="AI397" s="65">
        <f t="shared" si="85"/>
        <v>0</v>
      </c>
      <c r="AJ397" s="64" t="str">
        <f t="shared" si="86"/>
        <v/>
      </c>
      <c r="AK397" s="64" t="str">
        <f t="shared" si="87"/>
        <v/>
      </c>
    </row>
    <row r="398" spans="1:60" ht="24" hidden="1" customHeight="1" x14ac:dyDescent="0.15">
      <c r="A398" s="146">
        <v>375</v>
      </c>
      <c r="B398" s="331"/>
      <c r="C398" s="331"/>
      <c r="D398" s="331"/>
      <c r="E398" s="122"/>
      <c r="F398" s="122"/>
      <c r="G398" s="355"/>
      <c r="H398" s="354"/>
      <c r="I398" s="354"/>
      <c r="J398" s="355"/>
      <c r="K398" s="355"/>
      <c r="L398" s="332"/>
      <c r="M398" s="205"/>
      <c r="N398" s="457"/>
      <c r="O398" s="341"/>
      <c r="P398" s="13"/>
      <c r="Q398" s="205"/>
      <c r="R398" s="13"/>
      <c r="S398" s="14"/>
      <c r="T398" s="64" t="s">
        <v>50</v>
      </c>
      <c r="U398" s="64">
        <f>COUNTIF(D384:D403,"공")</f>
        <v>0</v>
      </c>
      <c r="V398" s="65">
        <f>COUNTIF(I384:I403,"공")</f>
        <v>0</v>
      </c>
      <c r="W398" s="64" t="s">
        <v>26</v>
      </c>
      <c r="X398" s="64">
        <f>SUMIF(D384:D403,"공",F384:F403)</f>
        <v>0</v>
      </c>
      <c r="Y398" s="65">
        <f>SUMIF(I384:I403,"공",K384:K403)</f>
        <v>0</v>
      </c>
      <c r="Z398" s="10">
        <f>COUNTIF(AJ384:AJ403,"공국")+COUNTIF(AJ384:AJ403,"공공")</f>
        <v>0</v>
      </c>
      <c r="AA398" s="42">
        <f>COUNTIF(AK384:AK403,"공국")+COUNTIF(AK384:AK403,"공공")</f>
        <v>0</v>
      </c>
      <c r="AB398" s="10" t="s">
        <v>26</v>
      </c>
      <c r="AC398" s="10">
        <f>SUMIF(AJ384:AJ403,"공국",F384:F403)+SUMIF(AJ384:AJ403,"공공",F384:F403)</f>
        <v>0</v>
      </c>
      <c r="AD398" s="42">
        <f>SUMIF(AK384:AK403,"공국",K384:K403)+SUMIF(AK384:AK403,"공공",K384:K403)</f>
        <v>0</v>
      </c>
      <c r="AE398" s="64">
        <f t="shared" si="84"/>
        <v>0</v>
      </c>
      <c r="AF398" s="65">
        <f t="shared" si="84"/>
        <v>0</v>
      </c>
      <c r="AG398" s="64" t="s">
        <v>26</v>
      </c>
      <c r="AH398" s="64">
        <f t="shared" si="85"/>
        <v>0</v>
      </c>
      <c r="AI398" s="65">
        <f t="shared" si="85"/>
        <v>0</v>
      </c>
      <c r="AJ398" s="64" t="str">
        <f t="shared" si="86"/>
        <v/>
      </c>
      <c r="AK398" s="64" t="str">
        <f t="shared" si="87"/>
        <v/>
      </c>
    </row>
    <row r="399" spans="1:60" ht="24" hidden="1" customHeight="1" x14ac:dyDescent="0.15">
      <c r="A399" s="146">
        <v>376</v>
      </c>
      <c r="B399" s="331"/>
      <c r="C399" s="331"/>
      <c r="D399" s="331"/>
      <c r="E399" s="122"/>
      <c r="F399" s="122"/>
      <c r="G399" s="355"/>
      <c r="H399" s="354"/>
      <c r="I399" s="354"/>
      <c r="J399" s="355"/>
      <c r="K399" s="355"/>
      <c r="L399" s="332"/>
      <c r="M399" s="205"/>
      <c r="N399" s="457"/>
      <c r="O399" s="341"/>
      <c r="P399" s="13"/>
      <c r="Q399" s="205"/>
      <c r="R399" s="13"/>
      <c r="S399" s="14"/>
      <c r="T399" s="70" t="s">
        <v>40</v>
      </c>
      <c r="U399" s="64">
        <f>COUNTIF(D384:D403,"장")</f>
        <v>0</v>
      </c>
      <c r="V399" s="65">
        <f>COUNTIF(I384:I403,"장")</f>
        <v>0</v>
      </c>
      <c r="W399" s="64" t="s">
        <v>26</v>
      </c>
      <c r="X399" s="64">
        <f>SUMIF(D384:D403,"장",F384:F403)</f>
        <v>0</v>
      </c>
      <c r="Y399" s="65">
        <f>SUMIF(I384:I403,"장",K384:K403)</f>
        <v>0</v>
      </c>
      <c r="Z399" s="10">
        <f>COUNTIF(AJ384:AJ403,"장국")+COUNTIF(AJ384:AJ403,"장공")</f>
        <v>0</v>
      </c>
      <c r="AA399" s="42">
        <f>COUNTIF(AK384:AK403,"장국")+COUNTIF(AK384:AK403,"장공")</f>
        <v>0</v>
      </c>
      <c r="AB399" s="10" t="s">
        <v>26</v>
      </c>
      <c r="AC399" s="10">
        <f>SUMIF(AJ384:AJ403,"장국",F384:F403)+SUMIF(AJ384:AJ403,"장공",F384:F403)</f>
        <v>0</v>
      </c>
      <c r="AD399" s="42">
        <f>SUMIF(AK384:AK403,"장국",K384:K403)+SUMIF(AK384:AK403,"장공",K384:K403)</f>
        <v>0</v>
      </c>
      <c r="AE399" s="64">
        <f t="shared" si="84"/>
        <v>0</v>
      </c>
      <c r="AF399" s="65">
        <f t="shared" si="84"/>
        <v>0</v>
      </c>
      <c r="AG399" s="64" t="s">
        <v>26</v>
      </c>
      <c r="AH399" s="64">
        <f t="shared" si="85"/>
        <v>0</v>
      </c>
      <c r="AI399" s="65">
        <f t="shared" si="85"/>
        <v>0</v>
      </c>
      <c r="AJ399" s="64" t="str">
        <f t="shared" si="86"/>
        <v/>
      </c>
      <c r="AK399" s="64" t="str">
        <f t="shared" si="87"/>
        <v/>
      </c>
    </row>
    <row r="400" spans="1:60" ht="24" hidden="1" customHeight="1" x14ac:dyDescent="0.15">
      <c r="A400" s="146">
        <v>377</v>
      </c>
      <c r="B400" s="331"/>
      <c r="C400" s="331"/>
      <c r="D400" s="331"/>
      <c r="E400" s="122"/>
      <c r="F400" s="122"/>
      <c r="G400" s="355"/>
      <c r="H400" s="354"/>
      <c r="I400" s="354"/>
      <c r="J400" s="355"/>
      <c r="K400" s="355"/>
      <c r="L400" s="332"/>
      <c r="M400" s="205"/>
      <c r="N400" s="457"/>
      <c r="O400" s="341"/>
      <c r="P400" s="13"/>
      <c r="Q400" s="205"/>
      <c r="R400" s="13"/>
      <c r="S400" s="14"/>
      <c r="T400" s="70" t="s">
        <v>5</v>
      </c>
      <c r="U400" s="64">
        <f>COUNTIF(D384:D403,"목")</f>
        <v>0</v>
      </c>
      <c r="V400" s="65">
        <f>COUNTIF(I384:I403,"목")</f>
        <v>0</v>
      </c>
      <c r="W400" s="64" t="s">
        <v>26</v>
      </c>
      <c r="X400" s="64">
        <f>SUMIF(D384:D403,"목",F384:F403)</f>
        <v>0</v>
      </c>
      <c r="Y400" s="65">
        <f>SUMIF(I384:I403,"목",K384:K403)</f>
        <v>0</v>
      </c>
      <c r="Z400" s="10">
        <f>COUNTIF(AJ384:AJ403,"목국")+COUNTIF(AJ384:AJ403,"목공")</f>
        <v>0</v>
      </c>
      <c r="AA400" s="42">
        <f>COUNTIF(AK384:AK403,"목국")+COUNTIF(AK384:AK403,"목공")</f>
        <v>0</v>
      </c>
      <c r="AB400" s="10" t="s">
        <v>26</v>
      </c>
      <c r="AC400" s="10">
        <f>SUMIF(AJ384:AJ403,"목국",F384:F403)+SUMIF(AJ384:AJ403,"목공",F384:F403)</f>
        <v>0</v>
      </c>
      <c r="AD400" s="42">
        <f>SUMIF(AK384:AK403,"목국",K384:K403)+SUMIF(AK384:AK403,"목공",K384:K403)</f>
        <v>0</v>
      </c>
      <c r="AE400" s="64">
        <f t="shared" si="84"/>
        <v>0</v>
      </c>
      <c r="AF400" s="65">
        <f t="shared" si="84"/>
        <v>0</v>
      </c>
      <c r="AG400" s="64" t="s">
        <v>26</v>
      </c>
      <c r="AH400" s="64">
        <f t="shared" si="85"/>
        <v>0</v>
      </c>
      <c r="AI400" s="65">
        <f t="shared" si="85"/>
        <v>0</v>
      </c>
      <c r="AJ400" s="64" t="str">
        <f t="shared" si="86"/>
        <v/>
      </c>
      <c r="AK400" s="64" t="str">
        <f t="shared" si="87"/>
        <v/>
      </c>
    </row>
    <row r="401" spans="1:60" ht="24" hidden="1" customHeight="1" x14ac:dyDescent="0.15">
      <c r="A401" s="146">
        <v>378</v>
      </c>
      <c r="B401" s="331"/>
      <c r="C401" s="331"/>
      <c r="D401" s="331"/>
      <c r="E401" s="122"/>
      <c r="F401" s="122"/>
      <c r="G401" s="355"/>
      <c r="H401" s="354"/>
      <c r="I401" s="354"/>
      <c r="J401" s="355"/>
      <c r="K401" s="355"/>
      <c r="L401" s="332"/>
      <c r="M401" s="205"/>
      <c r="N401" s="457"/>
      <c r="O401" s="341"/>
      <c r="P401" s="13"/>
      <c r="Q401" s="205"/>
      <c r="R401" s="13"/>
      <c r="S401" s="14"/>
      <c r="T401" s="70"/>
      <c r="U401" s="70"/>
      <c r="V401" s="71"/>
      <c r="W401" s="70"/>
      <c r="X401" s="70"/>
      <c r="Y401" s="71"/>
      <c r="Z401" s="10"/>
      <c r="AA401" s="42"/>
      <c r="AB401" s="11"/>
      <c r="AC401" s="10"/>
      <c r="AD401" s="42"/>
      <c r="AE401" s="70"/>
      <c r="AF401" s="71"/>
      <c r="AG401" s="70"/>
      <c r="AH401" s="70"/>
      <c r="AI401" s="71"/>
      <c r="AJ401" s="64" t="str">
        <f t="shared" si="86"/>
        <v/>
      </c>
      <c r="AK401" s="64" t="str">
        <f t="shared" si="87"/>
        <v/>
      </c>
    </row>
    <row r="402" spans="1:60" ht="24" hidden="1" customHeight="1" x14ac:dyDescent="0.15">
      <c r="A402" s="146">
        <v>379</v>
      </c>
      <c r="B402" s="331"/>
      <c r="C402" s="331"/>
      <c r="D402" s="331"/>
      <c r="E402" s="122"/>
      <c r="F402" s="122"/>
      <c r="G402" s="355"/>
      <c r="H402" s="354"/>
      <c r="I402" s="354"/>
      <c r="J402" s="355"/>
      <c r="K402" s="355"/>
      <c r="L402" s="332"/>
      <c r="M402" s="205"/>
      <c r="N402" s="457"/>
      <c r="O402" s="341"/>
      <c r="P402" s="13"/>
      <c r="Q402" s="205"/>
      <c r="R402" s="13"/>
      <c r="S402" s="14"/>
      <c r="T402" s="70"/>
      <c r="U402" s="70"/>
      <c r="V402" s="71"/>
      <c r="W402" s="70"/>
      <c r="X402" s="70"/>
      <c r="Y402" s="71"/>
      <c r="Z402" s="10"/>
      <c r="AA402" s="42"/>
      <c r="AB402" s="11"/>
      <c r="AC402" s="10"/>
      <c r="AD402" s="42"/>
      <c r="AE402" s="70"/>
      <c r="AF402" s="71"/>
      <c r="AG402" s="70"/>
      <c r="AH402" s="70"/>
      <c r="AI402" s="71"/>
      <c r="AJ402" s="64" t="str">
        <f t="shared" si="86"/>
        <v/>
      </c>
      <c r="AK402" s="64" t="str">
        <f t="shared" si="87"/>
        <v/>
      </c>
    </row>
    <row r="403" spans="1:60" ht="24" hidden="1" customHeight="1" x14ac:dyDescent="0.15">
      <c r="A403" s="146">
        <v>380</v>
      </c>
      <c r="B403" s="331"/>
      <c r="C403" s="331"/>
      <c r="D403" s="331"/>
      <c r="E403" s="122"/>
      <c r="F403" s="122"/>
      <c r="G403" s="355"/>
      <c r="H403" s="354"/>
      <c r="I403" s="354"/>
      <c r="J403" s="355"/>
      <c r="K403" s="355"/>
      <c r="L403" s="332"/>
      <c r="M403" s="205"/>
      <c r="N403" s="457"/>
      <c r="O403" s="341"/>
      <c r="P403" s="13"/>
      <c r="Q403" s="205"/>
      <c r="R403" s="13"/>
      <c r="S403" s="14"/>
      <c r="T403" s="72" t="s">
        <v>37</v>
      </c>
      <c r="U403" s="72">
        <f>COUNTIF(D384:D403,"철")</f>
        <v>0</v>
      </c>
      <c r="V403" s="73">
        <f>COUNTIF(I384:I403,"철")</f>
        <v>0</v>
      </c>
      <c r="W403" s="72" t="s">
        <v>26</v>
      </c>
      <c r="X403" s="72">
        <f>SUMIF(D384:D403,"철",F384:F403)</f>
        <v>0</v>
      </c>
      <c r="Y403" s="73">
        <f>SUMIF(I384:I403,"철",K384:K403)</f>
        <v>0</v>
      </c>
      <c r="Z403" s="10">
        <f>COUNTIF(AJ384:AJ403,"철국")+COUNTIF(AJ384:AJ403,"철공")</f>
        <v>0</v>
      </c>
      <c r="AA403" s="42">
        <f>COUNTIF(AK384:AK403,"철국")+COUNTIF(AK384:AK403,"철공")</f>
        <v>0</v>
      </c>
      <c r="AB403" s="12" t="s">
        <v>26</v>
      </c>
      <c r="AC403" s="10">
        <f>SUMIF(AJ384:AJ403,"철국",F384:F403)+SUMIF(AJ384:AJ403,"철공",F384:F403)</f>
        <v>0</v>
      </c>
      <c r="AD403" s="42">
        <f>SUMIF(AK384:AK403,"철국",K384:K403)+SUMIF(AK384:AK403,"철공",K384:K403)</f>
        <v>0</v>
      </c>
      <c r="AE403" s="72"/>
      <c r="AF403" s="73"/>
      <c r="AG403" s="72"/>
      <c r="AH403" s="72"/>
      <c r="AI403" s="73"/>
      <c r="AJ403" s="64" t="str">
        <f t="shared" si="86"/>
        <v/>
      </c>
      <c r="AK403" s="64" t="str">
        <f t="shared" si="87"/>
        <v/>
      </c>
    </row>
    <row r="404" spans="1:60" ht="24" hidden="1" customHeight="1" thickBot="1" x14ac:dyDescent="0.2">
      <c r="A404" s="1109" t="s">
        <v>48</v>
      </c>
      <c r="B404" s="1110"/>
      <c r="C404" s="1110"/>
      <c r="D404" s="1110"/>
      <c r="E404" s="1111"/>
      <c r="F404" s="149">
        <f>SUM(F384:F403)</f>
        <v>0</v>
      </c>
      <c r="G404" s="542"/>
      <c r="H404" s="543"/>
      <c r="I404" s="543"/>
      <c r="J404" s="542"/>
      <c r="K404" s="544">
        <f>SUM(K384:K403)</f>
        <v>0</v>
      </c>
      <c r="L404" s="545"/>
      <c r="M404" s="546"/>
      <c r="N404" s="547"/>
      <c r="O404" s="548"/>
      <c r="P404" s="564"/>
      <c r="Q404" s="564"/>
      <c r="R404" s="564"/>
      <c r="S404" s="15"/>
      <c r="T404" s="62" t="s">
        <v>24</v>
      </c>
      <c r="U404" s="63">
        <f t="shared" ref="U404:AA404" si="88">SUM(U384:U403)</f>
        <v>0</v>
      </c>
      <c r="V404" s="63">
        <f t="shared" si="88"/>
        <v>0</v>
      </c>
      <c r="W404" s="63">
        <f t="shared" si="88"/>
        <v>0</v>
      </c>
      <c r="X404" s="63">
        <f t="shared" si="88"/>
        <v>0</v>
      </c>
      <c r="Y404" s="63">
        <f t="shared" si="88"/>
        <v>0</v>
      </c>
      <c r="Z404" s="37">
        <f t="shared" si="88"/>
        <v>0</v>
      </c>
      <c r="AA404" s="43">
        <f t="shared" si="88"/>
        <v>0</v>
      </c>
      <c r="AB404" s="37" t="s">
        <v>26</v>
      </c>
      <c r="AC404" s="37">
        <f>SUM(AC384:AC403)</f>
        <v>0</v>
      </c>
      <c r="AD404" s="43">
        <f>SUM(AD384:AD403)</f>
        <v>0</v>
      </c>
      <c r="AE404" s="63">
        <f>SUM(AE384:AE403)</f>
        <v>0</v>
      </c>
      <c r="AF404" s="63">
        <f>SUM(AF384:AF403)</f>
        <v>0</v>
      </c>
      <c r="AG404" s="63" t="s">
        <v>26</v>
      </c>
      <c r="AH404" s="63">
        <f>SUM(AH384:AH403)</f>
        <v>0</v>
      </c>
      <c r="AI404" s="63">
        <f>SUM(AI384:AI403)</f>
        <v>0</v>
      </c>
      <c r="AJ404" s="63"/>
      <c r="AK404" s="57"/>
      <c r="AL404" s="66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</row>
    <row r="405" spans="1:60" ht="24" hidden="1" customHeight="1" x14ac:dyDescent="0.15">
      <c r="A405" s="139">
        <v>381</v>
      </c>
      <c r="B405" s="389"/>
      <c r="C405" s="389"/>
      <c r="D405" s="389"/>
      <c r="E405" s="336"/>
      <c r="F405" s="336"/>
      <c r="G405" s="551"/>
      <c r="H405" s="631"/>
      <c r="I405" s="631"/>
      <c r="J405" s="551"/>
      <c r="K405" s="551"/>
      <c r="L405" s="632"/>
      <c r="M405" s="335"/>
      <c r="N405" s="633"/>
      <c r="O405" s="337"/>
      <c r="P405" s="335"/>
      <c r="Q405" s="335"/>
      <c r="R405" s="335"/>
      <c r="S405" s="391"/>
      <c r="T405" s="64" t="s">
        <v>27</v>
      </c>
      <c r="U405" s="64">
        <f>COUNTIF(D405:D424,"전")</f>
        <v>0</v>
      </c>
      <c r="V405" s="65">
        <f>COUNTIF(I405:I424,"전")</f>
        <v>0</v>
      </c>
      <c r="W405" s="64" t="s">
        <v>26</v>
      </c>
      <c r="X405" s="64">
        <f>SUMIF(D405:D424,"전",F405:F424)</f>
        <v>0</v>
      </c>
      <c r="Y405" s="65">
        <f>SUMIF(I405:I424,"전",K405:K424)</f>
        <v>0</v>
      </c>
      <c r="Z405" s="10">
        <f>COUNTIF(AJ405:AJ424,"전국")+COUNTIF(AJ405:AJ424,"전공")</f>
        <v>0</v>
      </c>
      <c r="AA405" s="42">
        <f>COUNTIF(AK405:AK424,"전국")+COUNTIF(AK405:AK424,"전공")</f>
        <v>0</v>
      </c>
      <c r="AB405" s="10" t="s">
        <v>26</v>
      </c>
      <c r="AC405" s="10">
        <f>SUMIF(AJ405:AJ424,"전국",F405:F424)+SUMIF(AJ405:AJ424,"전공",F405:F424)</f>
        <v>0</v>
      </c>
      <c r="AD405" s="42">
        <f>SUMIF(AK405:AK424,"전국",K405:K424)+SUMIF(AK405:AK424,"전공",K405:K424)</f>
        <v>0</v>
      </c>
      <c r="AE405" s="64">
        <f t="shared" ref="AE405:AF421" si="89">U405-Z405</f>
        <v>0</v>
      </c>
      <c r="AF405" s="65">
        <f t="shared" si="89"/>
        <v>0</v>
      </c>
      <c r="AG405" s="64" t="s">
        <v>26</v>
      </c>
      <c r="AH405" s="64">
        <f t="shared" ref="AH405:AI421" si="90">X405-AC405</f>
        <v>0</v>
      </c>
      <c r="AI405" s="65">
        <f t="shared" si="90"/>
        <v>0</v>
      </c>
      <c r="AJ405" s="64" t="str">
        <f t="shared" ref="AJ405:AJ424" si="91">CONCATENATE(D405,L405)</f>
        <v/>
      </c>
      <c r="AK405" s="64" t="str">
        <f t="shared" ref="AK405:AK424" si="92">CONCATENATE(I405,L405)</f>
        <v/>
      </c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</row>
    <row r="406" spans="1:60" ht="24" hidden="1" customHeight="1" x14ac:dyDescent="0.15">
      <c r="A406" s="146">
        <v>382</v>
      </c>
      <c r="B406" s="331"/>
      <c r="C406" s="331"/>
      <c r="D406" s="331"/>
      <c r="E406" s="122"/>
      <c r="F406" s="122"/>
      <c r="G406" s="355"/>
      <c r="H406" s="354"/>
      <c r="I406" s="354"/>
      <c r="J406" s="355"/>
      <c r="K406" s="355"/>
      <c r="L406" s="332"/>
      <c r="M406" s="205"/>
      <c r="N406" s="457"/>
      <c r="O406" s="341"/>
      <c r="P406" s="205"/>
      <c r="Q406" s="205"/>
      <c r="R406" s="205"/>
      <c r="S406" s="276"/>
      <c r="T406" s="64" t="s">
        <v>28</v>
      </c>
      <c r="U406" s="64">
        <f>COUNTIF(D405:D424,"답")</f>
        <v>0</v>
      </c>
      <c r="V406" s="65">
        <f>COUNTIF(I405:I424,"답")</f>
        <v>0</v>
      </c>
      <c r="W406" s="64" t="s">
        <v>26</v>
      </c>
      <c r="X406" s="64">
        <f>SUMIF(D405:D424,"답",F405:F424)</f>
        <v>0</v>
      </c>
      <c r="Y406" s="65">
        <f>SUMIF(I405:I424,"답",K405:K424)</f>
        <v>0</v>
      </c>
      <c r="Z406" s="10">
        <f>COUNTIF(AJ405:AJ424,"답국")+COUNTIF(AJ405:AJ424,"답공")</f>
        <v>0</v>
      </c>
      <c r="AA406" s="42">
        <f>COUNTIF(AK405:AK424,"답국")+COUNTIF(AK405:AK424,"답공")</f>
        <v>0</v>
      </c>
      <c r="AB406" s="10" t="s">
        <v>26</v>
      </c>
      <c r="AC406" s="10">
        <f>SUMIF(AJ405:AJ424,"답국",F405:F424)+SUMIF(AJ405:AJ424,"답공",F405:F424)</f>
        <v>0</v>
      </c>
      <c r="AD406" s="42">
        <f>SUMIF(AK405:AK424,"답국",K405:K424)+SUMIF(AK405:AK424,"답공",K405:K424)</f>
        <v>0</v>
      </c>
      <c r="AE406" s="64">
        <f t="shared" si="89"/>
        <v>0</v>
      </c>
      <c r="AF406" s="65">
        <f t="shared" si="89"/>
        <v>0</v>
      </c>
      <c r="AG406" s="64" t="s">
        <v>26</v>
      </c>
      <c r="AH406" s="64">
        <f t="shared" si="90"/>
        <v>0</v>
      </c>
      <c r="AI406" s="65">
        <f t="shared" si="90"/>
        <v>0</v>
      </c>
      <c r="AJ406" s="64" t="str">
        <f t="shared" si="91"/>
        <v/>
      </c>
      <c r="AK406" s="64" t="str">
        <f t="shared" si="92"/>
        <v/>
      </c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</row>
    <row r="407" spans="1:60" ht="24" hidden="1" customHeight="1" x14ac:dyDescent="0.15">
      <c r="A407" s="146">
        <v>383</v>
      </c>
      <c r="B407" s="331"/>
      <c r="C407" s="331"/>
      <c r="D407" s="331"/>
      <c r="E407" s="122"/>
      <c r="F407" s="122"/>
      <c r="G407" s="355"/>
      <c r="H407" s="354"/>
      <c r="I407" s="354"/>
      <c r="J407" s="355"/>
      <c r="K407" s="355"/>
      <c r="L407" s="332"/>
      <c r="M407" s="205"/>
      <c r="N407" s="457"/>
      <c r="O407" s="341"/>
      <c r="P407" s="205"/>
      <c r="Q407" s="205"/>
      <c r="R407" s="205"/>
      <c r="S407" s="276"/>
      <c r="T407" s="64" t="s">
        <v>44</v>
      </c>
      <c r="U407" s="64">
        <f>COUNTIF(D405:D424,"임")</f>
        <v>0</v>
      </c>
      <c r="V407" s="65">
        <f>COUNTIF(I405:I424,"임")</f>
        <v>0</v>
      </c>
      <c r="W407" s="64" t="s">
        <v>26</v>
      </c>
      <c r="X407" s="64">
        <f>SUMIF(D405:D424,"임",F405:F424)</f>
        <v>0</v>
      </c>
      <c r="Y407" s="65">
        <f>SUMIF(I405:I424,"임",K405:K424)</f>
        <v>0</v>
      </c>
      <c r="Z407" s="10">
        <f>COUNTIF(AJ405:AJ424,"임국")+COUNTIF(AJ405:AJ424,"임공")</f>
        <v>0</v>
      </c>
      <c r="AA407" s="42">
        <f>COUNTIF(AK405:AK424,"임국")+COUNTIF(AK405:AK424,"임공")</f>
        <v>0</v>
      </c>
      <c r="AB407" s="10" t="s">
        <v>26</v>
      </c>
      <c r="AC407" s="10">
        <f>SUMIF(AJ405:AJ424,"임국",F405:F424)+SUMIF(AJ405:AJ424,"임공",F405:F424)</f>
        <v>0</v>
      </c>
      <c r="AD407" s="42">
        <f>SUMIF(AK405:AK424,"임국",K405:K424)+SUMIF(AK405:AK424,"임공",K405:K424)</f>
        <v>0</v>
      </c>
      <c r="AE407" s="64">
        <f t="shared" si="89"/>
        <v>0</v>
      </c>
      <c r="AF407" s="65">
        <f t="shared" si="89"/>
        <v>0</v>
      </c>
      <c r="AG407" s="64" t="s">
        <v>26</v>
      </c>
      <c r="AH407" s="64">
        <f t="shared" si="90"/>
        <v>0</v>
      </c>
      <c r="AI407" s="65">
        <f t="shared" si="90"/>
        <v>0</v>
      </c>
      <c r="AJ407" s="64" t="str">
        <f t="shared" si="91"/>
        <v/>
      </c>
      <c r="AK407" s="64" t="str">
        <f t="shared" si="92"/>
        <v/>
      </c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</row>
    <row r="408" spans="1:60" ht="24" hidden="1" customHeight="1" x14ac:dyDescent="0.15">
      <c r="A408" s="146">
        <v>384</v>
      </c>
      <c r="B408" s="331"/>
      <c r="C408" s="331"/>
      <c r="D408" s="331"/>
      <c r="E408" s="122"/>
      <c r="F408" s="122"/>
      <c r="G408" s="355"/>
      <c r="H408" s="354"/>
      <c r="I408" s="354"/>
      <c r="J408" s="355"/>
      <c r="K408" s="355"/>
      <c r="L408" s="332"/>
      <c r="M408" s="205"/>
      <c r="N408" s="457"/>
      <c r="O408" s="341"/>
      <c r="P408" s="205"/>
      <c r="Q408" s="205"/>
      <c r="R408" s="205"/>
      <c r="S408" s="276"/>
      <c r="T408" s="64" t="s">
        <v>45</v>
      </c>
      <c r="U408" s="64">
        <f>COUNTIF(D405:D424,"대")</f>
        <v>0</v>
      </c>
      <c r="V408" s="65">
        <f>COUNTIF(I405:I424,"대")</f>
        <v>0</v>
      </c>
      <c r="W408" s="64" t="s">
        <v>26</v>
      </c>
      <c r="X408" s="64">
        <f>SUMIF(D405:D424,"대",F405:F424)</f>
        <v>0</v>
      </c>
      <c r="Y408" s="65">
        <f>SUMIF(I405:I424,"대",K405:K424)</f>
        <v>0</v>
      </c>
      <c r="Z408" s="10">
        <f>COUNTIF(AJ405:AJ424,"대국")+COUNTIF(AJ405:AJ424,"대공")</f>
        <v>0</v>
      </c>
      <c r="AA408" s="42">
        <f>COUNTIF(AK405:AK424,"대국")+COUNTIF(AK405:AK424,"대공")</f>
        <v>0</v>
      </c>
      <c r="AB408" s="10" t="s">
        <v>26</v>
      </c>
      <c r="AC408" s="10">
        <f>SUMIF(AJ405:AJ424,"대국",F405:F424)+SUMIF(AJ405:AJ424,"대공",F405:F424)</f>
        <v>0</v>
      </c>
      <c r="AD408" s="42">
        <f>SUMIF(AK405:AK424,"대국",K405:K424)+SUMIF(AK405:AK424,"대공",K405:K424)</f>
        <v>0</v>
      </c>
      <c r="AE408" s="64">
        <f t="shared" si="89"/>
        <v>0</v>
      </c>
      <c r="AF408" s="65">
        <f t="shared" si="89"/>
        <v>0</v>
      </c>
      <c r="AG408" s="64" t="s">
        <v>26</v>
      </c>
      <c r="AH408" s="64">
        <f t="shared" si="90"/>
        <v>0</v>
      </c>
      <c r="AI408" s="65">
        <f t="shared" si="90"/>
        <v>0</v>
      </c>
      <c r="AJ408" s="64" t="str">
        <f t="shared" si="91"/>
        <v/>
      </c>
      <c r="AK408" s="64" t="str">
        <f t="shared" si="92"/>
        <v/>
      </c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</row>
    <row r="409" spans="1:60" ht="24" hidden="1" customHeight="1" x14ac:dyDescent="0.15">
      <c r="A409" s="146">
        <v>385</v>
      </c>
      <c r="B409" s="331"/>
      <c r="C409" s="331"/>
      <c r="D409" s="331"/>
      <c r="E409" s="122"/>
      <c r="F409" s="122"/>
      <c r="G409" s="355"/>
      <c r="H409" s="354"/>
      <c r="I409" s="354"/>
      <c r="J409" s="355"/>
      <c r="K409" s="355"/>
      <c r="L409" s="332"/>
      <c r="M409" s="205"/>
      <c r="N409" s="457"/>
      <c r="O409" s="341"/>
      <c r="P409" s="205"/>
      <c r="Q409" s="205"/>
      <c r="R409" s="205"/>
      <c r="S409" s="276"/>
      <c r="T409" s="64" t="s">
        <v>31</v>
      </c>
      <c r="U409" s="64">
        <f>COUNTIF(D405:D424,"도")</f>
        <v>0</v>
      </c>
      <c r="V409" s="65">
        <f>COUNTIF(I405:I424,"도")</f>
        <v>0</v>
      </c>
      <c r="W409" s="64" t="s">
        <v>26</v>
      </c>
      <c r="X409" s="64">
        <f>SUMIF(D405:D424,"도",F405:F424)</f>
        <v>0</v>
      </c>
      <c r="Y409" s="65">
        <f>SUMIF(I405:I424,"도",K405:K424)</f>
        <v>0</v>
      </c>
      <c r="Z409" s="10">
        <f>COUNTIF(AJ405:AJ424,"도국")+COUNTIF(AJ405:AJ424,"도공")</f>
        <v>0</v>
      </c>
      <c r="AA409" s="42">
        <f>COUNTIF(AK405:AK424,"도국")+COUNTIF(AK405:AK424,"도공")</f>
        <v>0</v>
      </c>
      <c r="AB409" s="10" t="s">
        <v>26</v>
      </c>
      <c r="AC409" s="10">
        <f>SUMIF(AJ405:AJ424,"도국",F405:F424)+SUMIF(AJ405:AJ424,"도공",F405:F424)</f>
        <v>0</v>
      </c>
      <c r="AD409" s="42">
        <f>SUMIF(AK405:AK424,"도국",K405:K424)+SUMIF(AK405:AK424,"도공",K405:K424)</f>
        <v>0</v>
      </c>
      <c r="AE409" s="64">
        <f t="shared" si="89"/>
        <v>0</v>
      </c>
      <c r="AF409" s="65">
        <f t="shared" si="89"/>
        <v>0</v>
      </c>
      <c r="AG409" s="64" t="s">
        <v>26</v>
      </c>
      <c r="AH409" s="64">
        <f t="shared" si="90"/>
        <v>0</v>
      </c>
      <c r="AI409" s="65">
        <f t="shared" si="90"/>
        <v>0</v>
      </c>
      <c r="AJ409" s="64" t="str">
        <f t="shared" si="91"/>
        <v/>
      </c>
      <c r="AK409" s="64" t="str">
        <f t="shared" si="92"/>
        <v/>
      </c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</row>
    <row r="410" spans="1:60" ht="24" hidden="1" customHeight="1" x14ac:dyDescent="0.15">
      <c r="A410" s="146">
        <v>386</v>
      </c>
      <c r="B410" s="331"/>
      <c r="C410" s="331"/>
      <c r="D410" s="331"/>
      <c r="E410" s="122"/>
      <c r="F410" s="122"/>
      <c r="G410" s="355"/>
      <c r="H410" s="354"/>
      <c r="I410" s="354"/>
      <c r="J410" s="355"/>
      <c r="K410" s="355"/>
      <c r="L410" s="332"/>
      <c r="M410" s="478"/>
      <c r="N410" s="457"/>
      <c r="O410" s="341"/>
      <c r="P410" s="205"/>
      <c r="Q410" s="205"/>
      <c r="R410" s="205"/>
      <c r="S410" s="276"/>
      <c r="T410" s="64" t="s">
        <v>32</v>
      </c>
      <c r="U410" s="68">
        <f>COUNTIF(D405:D424,"천")</f>
        <v>0</v>
      </c>
      <c r="V410" s="69">
        <f>COUNTIF(I405:I424,"천")</f>
        <v>0</v>
      </c>
      <c r="W410" s="64" t="s">
        <v>26</v>
      </c>
      <c r="X410" s="64">
        <f>SUMIF(D405:D424,"천",F405:F424)</f>
        <v>0</v>
      </c>
      <c r="Y410" s="65">
        <f>SUMIF(I405:I424,"천",K405:K424)</f>
        <v>0</v>
      </c>
      <c r="Z410" s="10">
        <f>COUNTIF(AJ405:AJ424,"천국")+COUNTIF(AJ405:AJ424,"천공")</f>
        <v>0</v>
      </c>
      <c r="AA410" s="42">
        <f>COUNTIF(AK405:AK424,"천국")+COUNTIF(AK405:AK424,"천공")</f>
        <v>0</v>
      </c>
      <c r="AB410" s="10" t="s">
        <v>26</v>
      </c>
      <c r="AC410" s="10">
        <f>SUMIF(AJ405:AJ424,"천국",F405:F424)+SUMIF(AJ405:AJ424,"천공",F405:F424)</f>
        <v>0</v>
      </c>
      <c r="AD410" s="42">
        <f>SUMIF(AK405:AK424,"천국",K405:K424)+SUMIF(AK405:AK424,"천공",K405:K424)</f>
        <v>0</v>
      </c>
      <c r="AE410" s="64">
        <f t="shared" si="89"/>
        <v>0</v>
      </c>
      <c r="AF410" s="65">
        <f t="shared" si="89"/>
        <v>0</v>
      </c>
      <c r="AG410" s="64" t="s">
        <v>26</v>
      </c>
      <c r="AH410" s="64">
        <f t="shared" si="90"/>
        <v>0</v>
      </c>
      <c r="AI410" s="65">
        <f t="shared" si="90"/>
        <v>0</v>
      </c>
      <c r="AJ410" s="64" t="str">
        <f t="shared" si="91"/>
        <v/>
      </c>
      <c r="AK410" s="64" t="str">
        <f t="shared" si="92"/>
        <v/>
      </c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</row>
    <row r="411" spans="1:60" ht="24" hidden="1" customHeight="1" x14ac:dyDescent="0.15">
      <c r="A411" s="146">
        <v>387</v>
      </c>
      <c r="B411" s="331"/>
      <c r="C411" s="331"/>
      <c r="D411" s="331"/>
      <c r="E411" s="122"/>
      <c r="F411" s="122"/>
      <c r="G411" s="355"/>
      <c r="H411" s="354"/>
      <c r="I411" s="354"/>
      <c r="J411" s="355"/>
      <c r="K411" s="355"/>
      <c r="L411" s="332"/>
      <c r="M411" s="205"/>
      <c r="N411" s="457"/>
      <c r="O411" s="341"/>
      <c r="P411" s="205"/>
      <c r="Q411" s="205"/>
      <c r="R411" s="205"/>
      <c r="S411" s="276"/>
      <c r="T411" s="64" t="s">
        <v>33</v>
      </c>
      <c r="U411" s="64">
        <f>COUNTIF(D405:D424,"구")</f>
        <v>0</v>
      </c>
      <c r="V411" s="65">
        <f>COUNTIF(I405:I424,"구")</f>
        <v>0</v>
      </c>
      <c r="W411" s="64" t="s">
        <v>26</v>
      </c>
      <c r="X411" s="64">
        <f>SUMIF(D405:D424,"구",F405:F424)</f>
        <v>0</v>
      </c>
      <c r="Y411" s="65">
        <f>SUMIF(I405:I424,"구",K405:K424)</f>
        <v>0</v>
      </c>
      <c r="Z411" s="10">
        <f>COUNTIF(AJ405:AJ424,"구국")+COUNTIF(AJ405:AJ424,"구공")</f>
        <v>0</v>
      </c>
      <c r="AA411" s="42">
        <f>COUNTIF(AK405:AK424,"구국")+COUNTIF(AK405:AK424,"구공")</f>
        <v>0</v>
      </c>
      <c r="AB411" s="10" t="s">
        <v>26</v>
      </c>
      <c r="AC411" s="10">
        <f>SUMIF(AJ405:AJ424,"구국",F405:F424)+SUMIF(AJ405:AJ424,"구공",F405:F424)</f>
        <v>0</v>
      </c>
      <c r="AD411" s="42">
        <f>SUMIF(AK405:AK424,"구국",K405:K424)+SUMIF(AK405:AK424,"구공",K405:K424)</f>
        <v>0</v>
      </c>
      <c r="AE411" s="64">
        <f t="shared" si="89"/>
        <v>0</v>
      </c>
      <c r="AF411" s="65">
        <f t="shared" si="89"/>
        <v>0</v>
      </c>
      <c r="AG411" s="64" t="s">
        <v>26</v>
      </c>
      <c r="AH411" s="64">
        <f t="shared" si="90"/>
        <v>0</v>
      </c>
      <c r="AI411" s="65">
        <f t="shared" si="90"/>
        <v>0</v>
      </c>
      <c r="AJ411" s="64" t="str">
        <f t="shared" si="91"/>
        <v/>
      </c>
      <c r="AK411" s="64" t="str">
        <f t="shared" si="92"/>
        <v/>
      </c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</row>
    <row r="412" spans="1:60" ht="24" hidden="1" customHeight="1" x14ac:dyDescent="0.15">
      <c r="A412" s="146">
        <v>388</v>
      </c>
      <c r="B412" s="331"/>
      <c r="C412" s="331"/>
      <c r="D412" s="331"/>
      <c r="E412" s="122"/>
      <c r="F412" s="122"/>
      <c r="G412" s="355"/>
      <c r="H412" s="354"/>
      <c r="I412" s="354"/>
      <c r="J412" s="355"/>
      <c r="K412" s="355"/>
      <c r="L412" s="332"/>
      <c r="M412" s="205"/>
      <c r="N412" s="457"/>
      <c r="O412" s="341"/>
      <c r="P412" s="205"/>
      <c r="Q412" s="205"/>
      <c r="R412" s="205"/>
      <c r="S412" s="276"/>
      <c r="T412" s="64" t="s">
        <v>34</v>
      </c>
      <c r="U412" s="64">
        <f>COUNTIF(D405:D424,"제")</f>
        <v>0</v>
      </c>
      <c r="V412" s="65">
        <f>COUNTIF(I405:I424,"제")</f>
        <v>0</v>
      </c>
      <c r="W412" s="64" t="s">
        <v>26</v>
      </c>
      <c r="X412" s="64">
        <f>SUMIF(D405:D424,"제",F405:F424)</f>
        <v>0</v>
      </c>
      <c r="Y412" s="65">
        <f>SUMIF(I405:I424,"제",K405:K424)</f>
        <v>0</v>
      </c>
      <c r="Z412" s="10">
        <f>COUNTIF(AJ405:AJ424,"제국")+COUNTIF(AJ405:AJ424,"제공")</f>
        <v>0</v>
      </c>
      <c r="AA412" s="42">
        <f>COUNTIF(AK405:AK424,"제국")+COUNTIF(AK405:AK424,"제공")</f>
        <v>0</v>
      </c>
      <c r="AB412" s="10" t="s">
        <v>26</v>
      </c>
      <c r="AC412" s="10">
        <f>SUMIF(AJ405:AJ424,"제국",F405:F424)+SUMIF(AJ405:AJ424,"제공",F405:F424)</f>
        <v>0</v>
      </c>
      <c r="AD412" s="42">
        <f>SUMIF(AK405:AK424,"제국",K405:K424)+SUMIF(AK405:AK424,"제공",K405:K424)</f>
        <v>0</v>
      </c>
      <c r="AE412" s="64">
        <f t="shared" si="89"/>
        <v>0</v>
      </c>
      <c r="AF412" s="65">
        <f t="shared" si="89"/>
        <v>0</v>
      </c>
      <c r="AG412" s="64" t="s">
        <v>26</v>
      </c>
      <c r="AH412" s="64">
        <f t="shared" si="90"/>
        <v>0</v>
      </c>
      <c r="AI412" s="65">
        <f t="shared" si="90"/>
        <v>0</v>
      </c>
      <c r="AJ412" s="64" t="str">
        <f t="shared" si="91"/>
        <v/>
      </c>
      <c r="AK412" s="64" t="str">
        <f t="shared" si="92"/>
        <v/>
      </c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</row>
    <row r="413" spans="1:60" ht="24" hidden="1" customHeight="1" x14ac:dyDescent="0.15">
      <c r="A413" s="146">
        <v>389</v>
      </c>
      <c r="B413" s="331"/>
      <c r="C413" s="331"/>
      <c r="D413" s="331"/>
      <c r="E413" s="122"/>
      <c r="F413" s="122"/>
      <c r="G413" s="355"/>
      <c r="H413" s="354"/>
      <c r="I413" s="354"/>
      <c r="J413" s="355"/>
      <c r="K413" s="355"/>
      <c r="L413" s="332"/>
      <c r="M413" s="205"/>
      <c r="N413" s="457"/>
      <c r="O413" s="341"/>
      <c r="P413" s="205"/>
      <c r="Q413" s="205"/>
      <c r="R413" s="205"/>
      <c r="S413" s="276"/>
      <c r="T413" s="64" t="s">
        <v>46</v>
      </c>
      <c r="U413" s="64">
        <f>COUNTIF(D405:D424,"유")</f>
        <v>0</v>
      </c>
      <c r="V413" s="65">
        <f>COUNTIF(I405:I424,"유")</f>
        <v>0</v>
      </c>
      <c r="W413" s="64" t="s">
        <v>26</v>
      </c>
      <c r="X413" s="64">
        <f>SUMIF(D405:D424,"유",F405:F424)</f>
        <v>0</v>
      </c>
      <c r="Y413" s="65">
        <f>SUMIF(I405:I424,"유",K405:K424)</f>
        <v>0</v>
      </c>
      <c r="Z413" s="10">
        <f>COUNTIF(AJ405:AJ424,"유국")+COUNTIF(AJ405:AJ424,"유공")</f>
        <v>0</v>
      </c>
      <c r="AA413" s="42">
        <f>COUNTIF(AK405:AK424,"유국")+COUNTIF(AK405:AK424,"유공")</f>
        <v>0</v>
      </c>
      <c r="AB413" s="10" t="s">
        <v>26</v>
      </c>
      <c r="AC413" s="10">
        <f>SUMIF(AJ405:AJ424,"유국",F405:F424)+SUMIF(AJ405:AJ424,"유공",F405:F424)</f>
        <v>0</v>
      </c>
      <c r="AD413" s="42">
        <f>SUMIF(AK405:AK424,"유국",K405:K424)+SUMIF(AK405:AK424,"유공",K405:K424)</f>
        <v>0</v>
      </c>
      <c r="AE413" s="64">
        <f t="shared" si="89"/>
        <v>0</v>
      </c>
      <c r="AF413" s="65">
        <f t="shared" si="89"/>
        <v>0</v>
      </c>
      <c r="AG413" s="64" t="s">
        <v>26</v>
      </c>
      <c r="AH413" s="64">
        <f t="shared" si="90"/>
        <v>0</v>
      </c>
      <c r="AI413" s="65">
        <f t="shared" si="90"/>
        <v>0</v>
      </c>
      <c r="AJ413" s="64" t="str">
        <f t="shared" si="91"/>
        <v/>
      </c>
      <c r="AK413" s="64" t="str">
        <f t="shared" si="92"/>
        <v/>
      </c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</row>
    <row r="414" spans="1:60" ht="24" hidden="1" customHeight="1" x14ac:dyDescent="0.15">
      <c r="A414" s="146">
        <v>390</v>
      </c>
      <c r="B414" s="331"/>
      <c r="C414" s="331"/>
      <c r="D414" s="331"/>
      <c r="E414" s="122"/>
      <c r="F414" s="122"/>
      <c r="G414" s="355"/>
      <c r="H414" s="354"/>
      <c r="I414" s="354"/>
      <c r="J414" s="355"/>
      <c r="K414" s="355"/>
      <c r="L414" s="332"/>
      <c r="M414" s="205"/>
      <c r="N414" s="457"/>
      <c r="O414" s="341"/>
      <c r="P414" s="205"/>
      <c r="Q414" s="205"/>
      <c r="R414" s="205"/>
      <c r="S414" s="276"/>
      <c r="T414" s="64" t="s">
        <v>47</v>
      </c>
      <c r="U414" s="64">
        <f>COUNTIF(D405:D424,"과")</f>
        <v>0</v>
      </c>
      <c r="V414" s="65">
        <f>COUNTIF(I405:I424,"과")</f>
        <v>0</v>
      </c>
      <c r="W414" s="64" t="s">
        <v>26</v>
      </c>
      <c r="X414" s="64">
        <f>SUMIF(D405:D424,"과",F405:F424)</f>
        <v>0</v>
      </c>
      <c r="Y414" s="65">
        <f>SUMIF(I405:I424,"과",K405:K424)</f>
        <v>0</v>
      </c>
      <c r="Z414" s="10">
        <f>COUNTIF(AJ405:AJ424,"과국")+COUNTIF(AJ405:AJ424,"과공")</f>
        <v>0</v>
      </c>
      <c r="AA414" s="42">
        <f>COUNTIF(AK405:AK424,"과국")+COUNTIF(AK405:AK424,"과공")</f>
        <v>0</v>
      </c>
      <c r="AB414" s="10" t="s">
        <v>26</v>
      </c>
      <c r="AC414" s="10">
        <f>SUMIF(AJ405:AJ424,"과국",F405:F424)+SUMIF(AJ405:AJ424,"과공",F405:F424)</f>
        <v>0</v>
      </c>
      <c r="AD414" s="42">
        <f>SUMIF(AK405:AK424,"과국",K405:K424)+SUMIF(AK405:AK424,"과공",K405:K424)</f>
        <v>0</v>
      </c>
      <c r="AE414" s="64">
        <f t="shared" si="89"/>
        <v>0</v>
      </c>
      <c r="AF414" s="65">
        <f t="shared" si="89"/>
        <v>0</v>
      </c>
      <c r="AG414" s="64" t="s">
        <v>26</v>
      </c>
      <c r="AH414" s="64">
        <f t="shared" si="90"/>
        <v>0</v>
      </c>
      <c r="AI414" s="65">
        <f t="shared" si="90"/>
        <v>0</v>
      </c>
      <c r="AJ414" s="64" t="str">
        <f t="shared" si="91"/>
        <v/>
      </c>
      <c r="AK414" s="64" t="str">
        <f t="shared" si="92"/>
        <v/>
      </c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</row>
    <row r="415" spans="1:60" ht="24" hidden="1" customHeight="1" x14ac:dyDescent="0.15">
      <c r="A415" s="146">
        <v>391</v>
      </c>
      <c r="B415" s="331"/>
      <c r="C415" s="331"/>
      <c r="D415" s="331"/>
      <c r="E415" s="122"/>
      <c r="F415" s="122"/>
      <c r="G415" s="355"/>
      <c r="H415" s="354"/>
      <c r="I415" s="354"/>
      <c r="J415" s="355"/>
      <c r="K415" s="355"/>
      <c r="L415" s="332"/>
      <c r="M415" s="205"/>
      <c r="N415" s="457"/>
      <c r="O415" s="341"/>
      <c r="P415" s="205"/>
      <c r="Q415" s="205"/>
      <c r="R415" s="205"/>
      <c r="S415" s="276"/>
      <c r="T415" s="64" t="s">
        <v>36</v>
      </c>
      <c r="U415" s="64">
        <f>COUNTIF(D405:D424,"묘")</f>
        <v>0</v>
      </c>
      <c r="V415" s="65">
        <f>COUNTIF(I405:I424,"묘")</f>
        <v>0</v>
      </c>
      <c r="W415" s="64" t="s">
        <v>26</v>
      </c>
      <c r="X415" s="64">
        <f>SUMIF(D405:D424,"묘",F405:F424)</f>
        <v>0</v>
      </c>
      <c r="Y415" s="65">
        <f>SUMIF(I405:I424,"묘",K405:K424)</f>
        <v>0</v>
      </c>
      <c r="Z415" s="10">
        <f>COUNTIF(AJ405:AJ424,"묘국")+COUNTIF(AJ405:AJ424,"묘공")</f>
        <v>0</v>
      </c>
      <c r="AA415" s="42">
        <f>COUNTIF(AK405:AK424,"묘국")+COUNTIF(AK405:AK424,"묘공")</f>
        <v>0</v>
      </c>
      <c r="AB415" s="10" t="s">
        <v>26</v>
      </c>
      <c r="AC415" s="10">
        <f>SUMIF(AJ405:AJ424,"묘국",F405:F424)+SUMIF(AJ405:AJ424,"묘공",F405:F424)</f>
        <v>0</v>
      </c>
      <c r="AD415" s="42">
        <f>SUMIF(AK405:AK424,"묘국",K405:K424)+SUMIF(AK405:AK424,"묘공",K405:K424)</f>
        <v>0</v>
      </c>
      <c r="AE415" s="64">
        <f t="shared" si="89"/>
        <v>0</v>
      </c>
      <c r="AF415" s="65">
        <f t="shared" si="89"/>
        <v>0</v>
      </c>
      <c r="AG415" s="64" t="s">
        <v>26</v>
      </c>
      <c r="AH415" s="64">
        <f t="shared" si="90"/>
        <v>0</v>
      </c>
      <c r="AI415" s="65">
        <f t="shared" si="90"/>
        <v>0</v>
      </c>
      <c r="AJ415" s="64" t="str">
        <f t="shared" si="91"/>
        <v/>
      </c>
      <c r="AK415" s="64" t="str">
        <f t="shared" si="92"/>
        <v/>
      </c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</row>
    <row r="416" spans="1:60" ht="24" hidden="1" customHeight="1" x14ac:dyDescent="0.15">
      <c r="A416" s="146">
        <v>392</v>
      </c>
      <c r="B416" s="331"/>
      <c r="C416" s="331"/>
      <c r="D416" s="331"/>
      <c r="E416" s="122"/>
      <c r="F416" s="122"/>
      <c r="G416" s="355"/>
      <c r="H416" s="354"/>
      <c r="I416" s="354"/>
      <c r="J416" s="355"/>
      <c r="K416" s="355"/>
      <c r="L416" s="332"/>
      <c r="M416" s="205"/>
      <c r="N416" s="457"/>
      <c r="O416" s="341"/>
      <c r="P416" s="13"/>
      <c r="Q416" s="205"/>
      <c r="R416" s="13"/>
      <c r="S416" s="14"/>
      <c r="T416" s="64" t="s">
        <v>39</v>
      </c>
      <c r="U416" s="64">
        <f>COUNTIF(D405:D424,"수")</f>
        <v>0</v>
      </c>
      <c r="V416" s="65">
        <f>COUNTIF(I405:I424,"수")</f>
        <v>0</v>
      </c>
      <c r="W416" s="64" t="s">
        <v>26</v>
      </c>
      <c r="X416" s="64">
        <f>SUMIF(D405:D424,"수",F405:F424)</f>
        <v>0</v>
      </c>
      <c r="Y416" s="65">
        <f>SUMIF(I405:I424,"수",K405:K424)</f>
        <v>0</v>
      </c>
      <c r="Z416" s="10">
        <f>COUNTIF(AJ405:AJ424,"수국")+COUNTIF(AJ405:AJ424,"수공")</f>
        <v>0</v>
      </c>
      <c r="AA416" s="42">
        <f>COUNTIF(AK405:AK424,"수국")+COUNTIF(AK405:AK424,"수공")</f>
        <v>0</v>
      </c>
      <c r="AB416" s="10" t="s">
        <v>26</v>
      </c>
      <c r="AC416" s="10">
        <f>SUMIF(AJ405:AJ424,"수국",F405:F424)+SUMIF(AJ405:AJ424,"수공",F405:F424)</f>
        <v>0</v>
      </c>
      <c r="AD416" s="42">
        <f>SUMIF(AK405:AK424,"수국",K405:K424)+SUMIF(AK405:AK424,"수공",K405:K424)</f>
        <v>0</v>
      </c>
      <c r="AE416" s="64">
        <f t="shared" si="89"/>
        <v>0</v>
      </c>
      <c r="AF416" s="65">
        <f t="shared" si="89"/>
        <v>0</v>
      </c>
      <c r="AG416" s="64" t="s">
        <v>26</v>
      </c>
      <c r="AH416" s="64">
        <f t="shared" si="90"/>
        <v>0</v>
      </c>
      <c r="AI416" s="65">
        <f t="shared" si="90"/>
        <v>0</v>
      </c>
      <c r="AJ416" s="64" t="str">
        <f t="shared" si="91"/>
        <v/>
      </c>
      <c r="AK416" s="64" t="str">
        <f t="shared" si="92"/>
        <v/>
      </c>
    </row>
    <row r="417" spans="1:60" ht="24" hidden="1" customHeight="1" x14ac:dyDescent="0.15">
      <c r="A417" s="146">
        <v>393</v>
      </c>
      <c r="B417" s="331"/>
      <c r="C417" s="331"/>
      <c r="D417" s="331"/>
      <c r="E417" s="122"/>
      <c r="F417" s="122"/>
      <c r="G417" s="355"/>
      <c r="H417" s="354"/>
      <c r="I417" s="354"/>
      <c r="J417" s="355"/>
      <c r="K417" s="355"/>
      <c r="L417" s="332"/>
      <c r="M417" s="205"/>
      <c r="N417" s="457"/>
      <c r="O417" s="341"/>
      <c r="P417" s="13"/>
      <c r="Q417" s="205"/>
      <c r="R417" s="13"/>
      <c r="S417" s="14"/>
      <c r="T417" s="64" t="s">
        <v>35</v>
      </c>
      <c r="U417" s="64">
        <f>COUNTIF(D405:D424,"잡")</f>
        <v>0</v>
      </c>
      <c r="V417" s="65">
        <f>COUNTIF(I405:I424,"잡")</f>
        <v>0</v>
      </c>
      <c r="W417" s="64" t="s">
        <v>26</v>
      </c>
      <c r="X417" s="64">
        <f>SUMIF(D405:D424,"잡",F405:F424)</f>
        <v>0</v>
      </c>
      <c r="Y417" s="65">
        <f>SUMIF(I405:I424,"잡",K405:K424)</f>
        <v>0</v>
      </c>
      <c r="Z417" s="10">
        <f>COUNTIF(AJ405:AJ424,"잡국")+COUNTIF(AJ405:AJ424,"잡공")</f>
        <v>0</v>
      </c>
      <c r="AA417" s="42">
        <f>COUNTIF(AK405:AK424,"잡국")+COUNTIF(AK405:AK424,"잡공")</f>
        <v>0</v>
      </c>
      <c r="AB417" s="10" t="s">
        <v>26</v>
      </c>
      <c r="AC417" s="10">
        <f>SUMIF(AJ405:AJ424,"잡국",F405:F424)+SUMIF(AJ405:AJ424,"잡공",F405:F424)</f>
        <v>0</v>
      </c>
      <c r="AD417" s="42">
        <f>SUMIF(AK405:AK424,"잡국",K405:K424)+SUMIF(AK405:AK424,"잡공",K405:K424)</f>
        <v>0</v>
      </c>
      <c r="AE417" s="64">
        <f t="shared" si="89"/>
        <v>0</v>
      </c>
      <c r="AF417" s="65">
        <f t="shared" si="89"/>
        <v>0</v>
      </c>
      <c r="AG417" s="64" t="s">
        <v>26</v>
      </c>
      <c r="AH417" s="64">
        <f t="shared" si="90"/>
        <v>0</v>
      </c>
      <c r="AI417" s="65">
        <f t="shared" si="90"/>
        <v>0</v>
      </c>
      <c r="AJ417" s="64" t="str">
        <f t="shared" si="91"/>
        <v/>
      </c>
      <c r="AK417" s="64" t="str">
        <f t="shared" si="92"/>
        <v/>
      </c>
    </row>
    <row r="418" spans="1:60" ht="24" hidden="1" customHeight="1" x14ac:dyDescent="0.15">
      <c r="A418" s="146">
        <v>394</v>
      </c>
      <c r="B418" s="331"/>
      <c r="C418" s="331"/>
      <c r="D418" s="331"/>
      <c r="E418" s="122"/>
      <c r="F418" s="122"/>
      <c r="G418" s="355"/>
      <c r="H418" s="354"/>
      <c r="I418" s="354"/>
      <c r="J418" s="355"/>
      <c r="K418" s="355"/>
      <c r="L418" s="332"/>
      <c r="M418" s="205"/>
      <c r="N418" s="457"/>
      <c r="O418" s="341"/>
      <c r="P418" s="13"/>
      <c r="Q418" s="205"/>
      <c r="R418" s="13"/>
      <c r="S418" s="14"/>
      <c r="T418" s="64" t="s">
        <v>51</v>
      </c>
      <c r="U418" s="64">
        <f>COUNTIF(D405:D424,"체")</f>
        <v>0</v>
      </c>
      <c r="V418" s="65">
        <f>COUNTIF(I405:I424,"체")</f>
        <v>0</v>
      </c>
      <c r="W418" s="64" t="s">
        <v>26</v>
      </c>
      <c r="X418" s="64">
        <f>SUMIF(D405:D424,"체",F405:F424)</f>
        <v>0</v>
      </c>
      <c r="Y418" s="65">
        <f>SUMIF(I405:I424,"체",K405:K424)</f>
        <v>0</v>
      </c>
      <c r="Z418" s="10">
        <f>COUNTIF(AJ405:AJ424,"체국")+COUNTIF(AJ405:AJ424,"체공")</f>
        <v>0</v>
      </c>
      <c r="AA418" s="42">
        <f>COUNTIF(AK405:AK424,"체국")+COUNTIF(AK405:AK424,"체공")</f>
        <v>0</v>
      </c>
      <c r="AB418" s="10" t="s">
        <v>26</v>
      </c>
      <c r="AC418" s="10">
        <f>SUMIF(AJ405:AJ424,"체국",F405:F424)+SUMIF(AJ405:AJ424,"체공",F405:F424)</f>
        <v>0</v>
      </c>
      <c r="AD418" s="42">
        <f>SUMIF(AK405:AK424,"체국",K405:K424)+SUMIF(AK405:AK424,"체공",K405:K424)</f>
        <v>0</v>
      </c>
      <c r="AE418" s="64">
        <f t="shared" si="89"/>
        <v>0</v>
      </c>
      <c r="AF418" s="65">
        <f t="shared" si="89"/>
        <v>0</v>
      </c>
      <c r="AG418" s="64" t="s">
        <v>26</v>
      </c>
      <c r="AH418" s="64">
        <f t="shared" si="90"/>
        <v>0</v>
      </c>
      <c r="AI418" s="65">
        <f t="shared" si="90"/>
        <v>0</v>
      </c>
      <c r="AJ418" s="64" t="str">
        <f t="shared" si="91"/>
        <v/>
      </c>
      <c r="AK418" s="64" t="str">
        <f t="shared" si="92"/>
        <v/>
      </c>
    </row>
    <row r="419" spans="1:60" ht="24" hidden="1" customHeight="1" x14ac:dyDescent="0.15">
      <c r="A419" s="146">
        <v>395</v>
      </c>
      <c r="B419" s="331"/>
      <c r="C419" s="331"/>
      <c r="D419" s="331"/>
      <c r="E419" s="122"/>
      <c r="F419" s="122"/>
      <c r="G419" s="355"/>
      <c r="H419" s="354"/>
      <c r="I419" s="354"/>
      <c r="J419" s="355"/>
      <c r="K419" s="355"/>
      <c r="L419" s="332"/>
      <c r="M419" s="205"/>
      <c r="N419" s="457"/>
      <c r="O419" s="341"/>
      <c r="P419" s="13"/>
      <c r="Q419" s="205"/>
      <c r="R419" s="13"/>
      <c r="S419" s="14"/>
      <c r="T419" s="64" t="s">
        <v>50</v>
      </c>
      <c r="U419" s="64">
        <f>COUNTIF(D405:D424,"공")</f>
        <v>0</v>
      </c>
      <c r="V419" s="65">
        <f>COUNTIF(I405:I424,"공")</f>
        <v>0</v>
      </c>
      <c r="W419" s="64" t="s">
        <v>26</v>
      </c>
      <c r="X419" s="64">
        <f>SUMIF(D405:D424,"공",F405:F424)</f>
        <v>0</v>
      </c>
      <c r="Y419" s="65">
        <f>SUMIF(I405:I424,"공",K405:K424)</f>
        <v>0</v>
      </c>
      <c r="Z419" s="10">
        <f>COUNTIF(AJ405:AJ424,"공국")+COUNTIF(AJ405:AJ424,"공공")</f>
        <v>0</v>
      </c>
      <c r="AA419" s="42">
        <f>COUNTIF(AK405:AK424,"공국")+COUNTIF(AK405:AK424,"공공")</f>
        <v>0</v>
      </c>
      <c r="AB419" s="10" t="s">
        <v>26</v>
      </c>
      <c r="AC419" s="10">
        <f>SUMIF(AJ405:AJ424,"공국",F405:F424)+SUMIF(AJ405:AJ424,"공공",F405:F424)</f>
        <v>0</v>
      </c>
      <c r="AD419" s="42">
        <f>SUMIF(AK405:AK424,"공국",K405:K424)+SUMIF(AK405:AK424,"공공",K405:K424)</f>
        <v>0</v>
      </c>
      <c r="AE419" s="64">
        <f t="shared" si="89"/>
        <v>0</v>
      </c>
      <c r="AF419" s="65">
        <f t="shared" si="89"/>
        <v>0</v>
      </c>
      <c r="AG419" s="64" t="s">
        <v>26</v>
      </c>
      <c r="AH419" s="64">
        <f t="shared" si="90"/>
        <v>0</v>
      </c>
      <c r="AI419" s="65">
        <f t="shared" si="90"/>
        <v>0</v>
      </c>
      <c r="AJ419" s="64" t="str">
        <f t="shared" si="91"/>
        <v/>
      </c>
      <c r="AK419" s="64" t="str">
        <f t="shared" si="92"/>
        <v/>
      </c>
    </row>
    <row r="420" spans="1:60" ht="24" hidden="1" customHeight="1" x14ac:dyDescent="0.15">
      <c r="A420" s="146">
        <v>396</v>
      </c>
      <c r="B420" s="331"/>
      <c r="C420" s="331"/>
      <c r="D420" s="331"/>
      <c r="E420" s="122"/>
      <c r="F420" s="122"/>
      <c r="G420" s="355"/>
      <c r="H420" s="354"/>
      <c r="I420" s="354"/>
      <c r="J420" s="355"/>
      <c r="K420" s="355"/>
      <c r="L420" s="332"/>
      <c r="M420" s="205"/>
      <c r="N420" s="457"/>
      <c r="O420" s="341"/>
      <c r="P420" s="13"/>
      <c r="Q420" s="13"/>
      <c r="R420" s="13"/>
      <c r="S420" s="14"/>
      <c r="T420" s="70" t="s">
        <v>40</v>
      </c>
      <c r="U420" s="64">
        <f>COUNTIF(D405:D424,"장")</f>
        <v>0</v>
      </c>
      <c r="V420" s="65">
        <f>COUNTIF(I405:I424,"장")</f>
        <v>0</v>
      </c>
      <c r="W420" s="64" t="s">
        <v>26</v>
      </c>
      <c r="X420" s="64">
        <f>SUMIF(D405:D424,"장",F405:F424)</f>
        <v>0</v>
      </c>
      <c r="Y420" s="65">
        <f>SUMIF(I405:I424,"장",K405:K424)</f>
        <v>0</v>
      </c>
      <c r="Z420" s="10">
        <f>COUNTIF(AJ405:AJ424,"장국")+COUNTIF(AJ405:AJ424,"장공")</f>
        <v>0</v>
      </c>
      <c r="AA420" s="42">
        <f>COUNTIF(AK405:AK424,"장국")+COUNTIF(AK405:AK424,"장공")</f>
        <v>0</v>
      </c>
      <c r="AB420" s="10" t="s">
        <v>26</v>
      </c>
      <c r="AC420" s="10">
        <f>SUMIF(AJ405:AJ424,"장국",F405:F424)+SUMIF(AJ405:AJ424,"장공",F405:F424)</f>
        <v>0</v>
      </c>
      <c r="AD420" s="42">
        <f>SUMIF(AK405:AK424,"장국",K405:K424)+SUMIF(AK405:AK424,"장공",K405:K424)</f>
        <v>0</v>
      </c>
      <c r="AE420" s="64">
        <f t="shared" si="89"/>
        <v>0</v>
      </c>
      <c r="AF420" s="65">
        <f t="shared" si="89"/>
        <v>0</v>
      </c>
      <c r="AG420" s="64" t="s">
        <v>26</v>
      </c>
      <c r="AH420" s="64">
        <f t="shared" si="90"/>
        <v>0</v>
      </c>
      <c r="AI420" s="65">
        <f t="shared" si="90"/>
        <v>0</v>
      </c>
      <c r="AJ420" s="64" t="str">
        <f t="shared" si="91"/>
        <v/>
      </c>
      <c r="AK420" s="64" t="str">
        <f t="shared" si="92"/>
        <v/>
      </c>
    </row>
    <row r="421" spans="1:60" ht="24" hidden="1" customHeight="1" x14ac:dyDescent="0.15">
      <c r="A421" s="146">
        <v>397</v>
      </c>
      <c r="B421" s="331"/>
      <c r="C421" s="331"/>
      <c r="D421" s="331"/>
      <c r="E421" s="122"/>
      <c r="F421" s="122"/>
      <c r="G421" s="355"/>
      <c r="H421" s="354"/>
      <c r="I421" s="354"/>
      <c r="J421" s="355"/>
      <c r="K421" s="355"/>
      <c r="L421" s="332"/>
      <c r="M421" s="205"/>
      <c r="N421" s="457"/>
      <c r="O421" s="341"/>
      <c r="P421" s="13"/>
      <c r="Q421" s="13"/>
      <c r="R421" s="13"/>
      <c r="S421" s="14"/>
      <c r="T421" s="70" t="s">
        <v>5</v>
      </c>
      <c r="U421" s="64">
        <f>COUNTIF(D405:D424,"목")</f>
        <v>0</v>
      </c>
      <c r="V421" s="65">
        <f>COUNTIF(I405:I424,"목")</f>
        <v>0</v>
      </c>
      <c r="W421" s="64" t="s">
        <v>26</v>
      </c>
      <c r="X421" s="64">
        <f>SUMIF(D405:D424,"목",F405:F424)</f>
        <v>0</v>
      </c>
      <c r="Y421" s="65">
        <f>SUMIF(I405:I424,"목",K405:K424)</f>
        <v>0</v>
      </c>
      <c r="Z421" s="10">
        <f>COUNTIF(AJ405:AJ424,"목국")+COUNTIF(AJ405:AJ424,"목공")</f>
        <v>0</v>
      </c>
      <c r="AA421" s="42">
        <f>COUNTIF(AK405:AK424,"목국")+COUNTIF(AK405:AK424,"목공")</f>
        <v>0</v>
      </c>
      <c r="AB421" s="10" t="s">
        <v>26</v>
      </c>
      <c r="AC421" s="10">
        <f>SUMIF(AJ405:AJ424,"목국",F405:F424)+SUMIF(AJ405:AJ424,"목공",F405:F424)</f>
        <v>0</v>
      </c>
      <c r="AD421" s="42">
        <f>SUMIF(AK405:AK424,"목국",K405:K424)+SUMIF(AK405:AK424,"목공",K405:K424)</f>
        <v>0</v>
      </c>
      <c r="AE421" s="64">
        <f t="shared" si="89"/>
        <v>0</v>
      </c>
      <c r="AF421" s="65">
        <f t="shared" si="89"/>
        <v>0</v>
      </c>
      <c r="AG421" s="64" t="s">
        <v>26</v>
      </c>
      <c r="AH421" s="64">
        <f t="shared" si="90"/>
        <v>0</v>
      </c>
      <c r="AI421" s="65">
        <f t="shared" si="90"/>
        <v>0</v>
      </c>
      <c r="AJ421" s="64" t="str">
        <f t="shared" si="91"/>
        <v/>
      </c>
      <c r="AK421" s="64" t="str">
        <f t="shared" si="92"/>
        <v/>
      </c>
    </row>
    <row r="422" spans="1:60" ht="24" hidden="1" customHeight="1" x14ac:dyDescent="0.15">
      <c r="A422" s="146"/>
      <c r="B422" s="331"/>
      <c r="C422" s="331"/>
      <c r="D422" s="331"/>
      <c r="E422" s="122"/>
      <c r="F422" s="122"/>
      <c r="G422" s="355"/>
      <c r="H422" s="354"/>
      <c r="I422" s="354"/>
      <c r="J422" s="355"/>
      <c r="K422" s="355"/>
      <c r="L422" s="332"/>
      <c r="M422" s="205"/>
      <c r="N422" s="457"/>
      <c r="O422" s="341"/>
      <c r="P422" s="13"/>
      <c r="Q422" s="13"/>
      <c r="R422" s="13"/>
      <c r="S422" s="14"/>
      <c r="T422" s="70"/>
      <c r="U422" s="70"/>
      <c r="V422" s="71"/>
      <c r="W422" s="70"/>
      <c r="X422" s="70"/>
      <c r="Y422" s="71"/>
      <c r="Z422" s="10"/>
      <c r="AA422" s="42"/>
      <c r="AB422" s="11"/>
      <c r="AC422" s="10"/>
      <c r="AD422" s="42"/>
      <c r="AE422" s="70"/>
      <c r="AF422" s="71"/>
      <c r="AG422" s="70"/>
      <c r="AH422" s="70"/>
      <c r="AI422" s="71"/>
      <c r="AJ422" s="64" t="str">
        <f t="shared" si="91"/>
        <v/>
      </c>
      <c r="AK422" s="64" t="str">
        <f t="shared" si="92"/>
        <v/>
      </c>
    </row>
    <row r="423" spans="1:60" ht="24" hidden="1" customHeight="1" x14ac:dyDescent="0.15">
      <c r="A423" s="146"/>
      <c r="B423" s="331"/>
      <c r="C423" s="331"/>
      <c r="D423" s="331"/>
      <c r="E423" s="122"/>
      <c r="F423" s="122"/>
      <c r="G423" s="355"/>
      <c r="H423" s="354"/>
      <c r="I423" s="354"/>
      <c r="J423" s="355"/>
      <c r="K423" s="355"/>
      <c r="L423" s="332"/>
      <c r="M423" s="205"/>
      <c r="N423" s="457"/>
      <c r="O423" s="341"/>
      <c r="P423" s="13"/>
      <c r="Q423" s="13"/>
      <c r="R423" s="13"/>
      <c r="S423" s="14"/>
      <c r="T423" s="70"/>
      <c r="U423" s="70"/>
      <c r="V423" s="71"/>
      <c r="W423" s="70"/>
      <c r="X423" s="70"/>
      <c r="Y423" s="71"/>
      <c r="Z423" s="10"/>
      <c r="AA423" s="42"/>
      <c r="AB423" s="11"/>
      <c r="AC423" s="10"/>
      <c r="AD423" s="42"/>
      <c r="AE423" s="70"/>
      <c r="AF423" s="71"/>
      <c r="AG423" s="70"/>
      <c r="AH423" s="70"/>
      <c r="AI423" s="71"/>
      <c r="AJ423" s="64" t="str">
        <f t="shared" si="91"/>
        <v/>
      </c>
      <c r="AK423" s="64" t="str">
        <f t="shared" si="92"/>
        <v/>
      </c>
    </row>
    <row r="424" spans="1:60" ht="24" hidden="1" customHeight="1" thickBot="1" x14ac:dyDescent="0.2">
      <c r="A424" s="1109" t="s">
        <v>48</v>
      </c>
      <c r="B424" s="1110"/>
      <c r="C424" s="1110"/>
      <c r="D424" s="1110"/>
      <c r="E424" s="1111"/>
      <c r="F424" s="149">
        <f>SUM(F405:F423)</f>
        <v>0</v>
      </c>
      <c r="G424" s="542"/>
      <c r="H424" s="543"/>
      <c r="I424" s="543"/>
      <c r="J424" s="542"/>
      <c r="K424" s="544">
        <f>SUM(K405:K423)</f>
        <v>0</v>
      </c>
      <c r="L424" s="545"/>
      <c r="M424" s="546"/>
      <c r="N424" s="547"/>
      <c r="O424" s="548"/>
      <c r="P424" s="564"/>
      <c r="Q424" s="564"/>
      <c r="R424" s="564"/>
      <c r="S424" s="15"/>
      <c r="T424" s="72" t="s">
        <v>37</v>
      </c>
      <c r="U424" s="72">
        <f>COUNTIF(D405:D424,"철")</f>
        <v>0</v>
      </c>
      <c r="V424" s="73">
        <f>COUNTIF(I405:I424,"철")</f>
        <v>0</v>
      </c>
      <c r="W424" s="72" t="s">
        <v>26</v>
      </c>
      <c r="X424" s="72">
        <f>SUMIF(D405:D424,"철",F405:F424)</f>
        <v>0</v>
      </c>
      <c r="Y424" s="73">
        <f>SUMIF(I405:I424,"철",K405:K424)</f>
        <v>0</v>
      </c>
      <c r="Z424" s="10">
        <f>COUNTIF(AJ405:AJ424,"철국")+COUNTIF(AJ405:AJ424,"철공")</f>
        <v>0</v>
      </c>
      <c r="AA424" s="42">
        <f>COUNTIF(AK405:AK424,"철국")+COUNTIF(AK405:AK424,"철공")</f>
        <v>0</v>
      </c>
      <c r="AB424" s="12" t="s">
        <v>26</v>
      </c>
      <c r="AC424" s="10">
        <f>SUMIF(AJ405:AJ424,"철국",F405:F424)+SUMIF(AJ405:AJ424,"철공",F405:F424)</f>
        <v>0</v>
      </c>
      <c r="AD424" s="42">
        <f>SUMIF(AK405:AK424,"철국",K405:K424)+SUMIF(AK405:AK424,"철공",K405:K424)</f>
        <v>0</v>
      </c>
      <c r="AE424" s="72"/>
      <c r="AF424" s="73"/>
      <c r="AG424" s="72"/>
      <c r="AH424" s="72"/>
      <c r="AI424" s="73"/>
      <c r="AJ424" s="64" t="str">
        <f t="shared" si="91"/>
        <v/>
      </c>
      <c r="AK424" s="64" t="str">
        <f t="shared" si="92"/>
        <v/>
      </c>
    </row>
    <row r="425" spans="1:60" ht="24" customHeight="1" thickBot="1" x14ac:dyDescent="0.2">
      <c r="A425" s="1109" t="s">
        <v>212</v>
      </c>
      <c r="B425" s="1110"/>
      <c r="C425" s="1110"/>
      <c r="D425" s="1110"/>
      <c r="E425" s="1111"/>
      <c r="F425" s="149">
        <f>F26+F47+F68+F89+F110+F131+F152+F173+F194+F215+F236+F257+F278+F299+F320+F341+F362+F383+F404+F424</f>
        <v>6</v>
      </c>
      <c r="G425" s="542"/>
      <c r="H425" s="543"/>
      <c r="I425" s="543"/>
      <c r="J425" s="542"/>
      <c r="K425" s="149">
        <f>K26+K47+K68+K89+K110+K131+K152+K173+K194+K215+K236+K257+K278+K299+K320+K341+K362+K383+K404+K424</f>
        <v>6</v>
      </c>
      <c r="L425" s="545"/>
      <c r="M425" s="546"/>
      <c r="N425" s="547"/>
      <c r="O425" s="548"/>
      <c r="P425" s="564"/>
      <c r="Q425" s="564"/>
      <c r="R425" s="564"/>
      <c r="S425" s="15"/>
      <c r="T425" s="62" t="s">
        <v>24</v>
      </c>
      <c r="U425" s="63">
        <f t="shared" ref="U425:AA425" si="93">SUM(U405:U424)</f>
        <v>0</v>
      </c>
      <c r="V425" s="63">
        <f t="shared" si="93"/>
        <v>0</v>
      </c>
      <c r="W425" s="63">
        <f t="shared" si="93"/>
        <v>0</v>
      </c>
      <c r="X425" s="63">
        <f t="shared" si="93"/>
        <v>0</v>
      </c>
      <c r="Y425" s="63">
        <f t="shared" si="93"/>
        <v>0</v>
      </c>
      <c r="Z425" s="37">
        <f t="shared" si="93"/>
        <v>0</v>
      </c>
      <c r="AA425" s="43">
        <f t="shared" si="93"/>
        <v>0</v>
      </c>
      <c r="AB425" s="37" t="s">
        <v>26</v>
      </c>
      <c r="AC425" s="37">
        <f>SUM(AC405:AC424)</f>
        <v>0</v>
      </c>
      <c r="AD425" s="43">
        <f>SUM(AD405:AD424)</f>
        <v>0</v>
      </c>
      <c r="AE425" s="63">
        <f>SUM(AE405:AE424)</f>
        <v>0</v>
      </c>
      <c r="AF425" s="63">
        <f>SUM(AF405:AF424)</f>
        <v>0</v>
      </c>
      <c r="AG425" s="63" t="s">
        <v>26</v>
      </c>
      <c r="AH425" s="63">
        <f>SUM(AH405:AH424)</f>
        <v>0</v>
      </c>
      <c r="AI425" s="63">
        <f>SUM(AI405:AI424)</f>
        <v>0</v>
      </c>
      <c r="AJ425" s="63"/>
      <c r="AK425" s="57"/>
      <c r="AL425" s="66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</row>
    <row r="426" spans="1:60" ht="21.95" customHeight="1" x14ac:dyDescent="0.15">
      <c r="A426" s="60"/>
    </row>
    <row r="427" spans="1:60" ht="21.95" customHeight="1" x14ac:dyDescent="0.15">
      <c r="A427" s="60"/>
    </row>
    <row r="428" spans="1:60" ht="21.95" customHeight="1" x14ac:dyDescent="0.15">
      <c r="A428" s="60"/>
    </row>
    <row r="429" spans="1:60" ht="21.95" customHeight="1" x14ac:dyDescent="0.15">
      <c r="A429" s="60"/>
      <c r="I429" s="625"/>
      <c r="J429" s="626"/>
      <c r="K429" s="627"/>
      <c r="L429" s="628"/>
      <c r="M429" s="629"/>
    </row>
    <row r="430" spans="1:60" ht="21.95" customHeight="1" x14ac:dyDescent="0.15">
      <c r="A430" s="60"/>
      <c r="I430" s="625"/>
      <c r="J430" s="626"/>
      <c r="K430" s="630"/>
      <c r="L430" s="628"/>
      <c r="M430" s="629"/>
    </row>
    <row r="431" spans="1:60" ht="21.95" customHeight="1" x14ac:dyDescent="0.15">
      <c r="A431" s="60"/>
      <c r="I431" s="625"/>
      <c r="J431" s="626"/>
      <c r="K431" s="630"/>
      <c r="L431" s="628"/>
      <c r="M431" s="629"/>
    </row>
    <row r="432" spans="1:60" ht="21.95" customHeight="1" x14ac:dyDescent="0.15">
      <c r="A432" s="60"/>
      <c r="I432" s="625"/>
      <c r="J432" s="626"/>
      <c r="K432" s="630"/>
      <c r="L432" s="628"/>
      <c r="M432" s="629"/>
    </row>
    <row r="433" spans="1:13" ht="21.95" customHeight="1" x14ac:dyDescent="0.15">
      <c r="A433" s="60"/>
      <c r="I433" s="625"/>
      <c r="J433" s="626"/>
      <c r="K433" s="630"/>
      <c r="L433" s="628"/>
      <c r="M433" s="629"/>
    </row>
    <row r="434" spans="1:13" ht="21.95" customHeight="1" x14ac:dyDescent="0.15">
      <c r="A434" s="60"/>
      <c r="I434" s="625"/>
      <c r="J434" s="626"/>
      <c r="K434" s="630"/>
      <c r="L434" s="628"/>
      <c r="M434" s="629"/>
    </row>
    <row r="435" spans="1:13" ht="21.95" customHeight="1" x14ac:dyDescent="0.15">
      <c r="A435" s="60"/>
      <c r="I435" s="625"/>
      <c r="J435" s="626"/>
      <c r="K435" s="630"/>
      <c r="L435" s="628"/>
      <c r="M435" s="629"/>
    </row>
    <row r="436" spans="1:13" ht="21.95" customHeight="1" x14ac:dyDescent="0.15">
      <c r="A436" s="60"/>
      <c r="I436" s="625"/>
      <c r="J436" s="626"/>
      <c r="K436" s="630"/>
      <c r="L436" s="628"/>
      <c r="M436" s="629"/>
    </row>
    <row r="437" spans="1:13" ht="21.95" customHeight="1" x14ac:dyDescent="0.15">
      <c r="A437" s="60"/>
      <c r="I437" s="625"/>
      <c r="J437" s="626"/>
      <c r="K437" s="630"/>
      <c r="L437" s="628"/>
      <c r="M437" s="629"/>
    </row>
    <row r="438" spans="1:13" ht="21.95" customHeight="1" x14ac:dyDescent="0.15">
      <c r="A438" s="60"/>
      <c r="I438" s="625"/>
      <c r="J438" s="626"/>
      <c r="K438" s="630"/>
      <c r="L438" s="628"/>
      <c r="M438" s="629"/>
    </row>
    <row r="439" spans="1:13" ht="21.95" customHeight="1" x14ac:dyDescent="0.15">
      <c r="A439" s="60"/>
      <c r="I439" s="625"/>
      <c r="J439" s="626"/>
      <c r="K439" s="627"/>
      <c r="L439" s="628"/>
      <c r="M439" s="629"/>
    </row>
    <row r="440" spans="1:13" ht="21.95" customHeight="1" x14ac:dyDescent="0.15">
      <c r="A440" s="60"/>
      <c r="I440" s="625"/>
      <c r="J440" s="626"/>
      <c r="K440" s="627"/>
      <c r="L440" s="628"/>
      <c r="M440" s="629"/>
    </row>
    <row r="441" spans="1:13" ht="21.95" customHeight="1" x14ac:dyDescent="0.15">
      <c r="A441" s="60"/>
      <c r="I441" s="625"/>
      <c r="J441" s="626"/>
      <c r="K441" s="627"/>
      <c r="L441" s="628"/>
      <c r="M441" s="629"/>
    </row>
    <row r="442" spans="1:13" ht="21.95" customHeight="1" x14ac:dyDescent="0.15">
      <c r="A442" s="60"/>
      <c r="I442" s="625"/>
      <c r="J442" s="626"/>
      <c r="K442" s="627"/>
      <c r="L442" s="628"/>
      <c r="M442" s="629"/>
    </row>
    <row r="443" spans="1:13" ht="21.95" customHeight="1" x14ac:dyDescent="0.15">
      <c r="A443" s="60"/>
    </row>
    <row r="444" spans="1:13" ht="21.95" customHeight="1" x14ac:dyDescent="0.15">
      <c r="A444" s="60"/>
    </row>
    <row r="445" spans="1:13" ht="21.95" customHeight="1" x14ac:dyDescent="0.15">
      <c r="A445" s="60"/>
    </row>
    <row r="446" spans="1:13" ht="21.95" customHeight="1" x14ac:dyDescent="0.15">
      <c r="A446" s="60"/>
    </row>
    <row r="447" spans="1:13" ht="21.95" customHeight="1" x14ac:dyDescent="0.15">
      <c r="A447" s="60"/>
    </row>
    <row r="448" spans="1:13" ht="21.95" customHeight="1" x14ac:dyDescent="0.15">
      <c r="A448" s="60"/>
    </row>
    <row r="449" spans="1:1" ht="21.95" customHeight="1" x14ac:dyDescent="0.15">
      <c r="A449" s="60"/>
    </row>
    <row r="450" spans="1:1" ht="21.95" customHeight="1" x14ac:dyDescent="0.15">
      <c r="A450" s="60"/>
    </row>
    <row r="451" spans="1:1" ht="21.95" customHeight="1" x14ac:dyDescent="0.15">
      <c r="A451" s="60"/>
    </row>
    <row r="452" spans="1:1" ht="21.95" customHeight="1" x14ac:dyDescent="0.15">
      <c r="A452" s="60"/>
    </row>
    <row r="453" spans="1:1" ht="21.95" customHeight="1" x14ac:dyDescent="0.15">
      <c r="A453" s="60"/>
    </row>
    <row r="454" spans="1:1" ht="21.95" customHeight="1" x14ac:dyDescent="0.15">
      <c r="A454" s="60"/>
    </row>
    <row r="455" spans="1:1" ht="21.95" customHeight="1" x14ac:dyDescent="0.15">
      <c r="A455" s="60"/>
    </row>
    <row r="456" spans="1:1" ht="21.95" customHeight="1" x14ac:dyDescent="0.15">
      <c r="A456" s="60"/>
    </row>
    <row r="457" spans="1:1" ht="21.95" customHeight="1" x14ac:dyDescent="0.15">
      <c r="A457" s="60"/>
    </row>
    <row r="458" spans="1:1" ht="21.95" customHeight="1" x14ac:dyDescent="0.15">
      <c r="A458" s="60"/>
    </row>
    <row r="459" spans="1:1" ht="21.95" customHeight="1" x14ac:dyDescent="0.15">
      <c r="A459" s="60"/>
    </row>
    <row r="460" spans="1:1" ht="21.95" customHeight="1" x14ac:dyDescent="0.15">
      <c r="A460" s="60"/>
    </row>
    <row r="461" spans="1:1" ht="21.95" customHeight="1" x14ac:dyDescent="0.15">
      <c r="A461" s="60"/>
    </row>
    <row r="462" spans="1:1" ht="21.95" customHeight="1" x14ac:dyDescent="0.15">
      <c r="A462" s="60"/>
    </row>
    <row r="463" spans="1:1" ht="21.95" customHeight="1" x14ac:dyDescent="0.15">
      <c r="A463" s="60"/>
    </row>
    <row r="464" spans="1:1" ht="21.95" customHeight="1" x14ac:dyDescent="0.15">
      <c r="A464" s="60"/>
    </row>
    <row r="465" spans="1:1" ht="21.95" customHeight="1" x14ac:dyDescent="0.15">
      <c r="A465" s="60"/>
    </row>
    <row r="466" spans="1:1" ht="21.95" customHeight="1" x14ac:dyDescent="0.15">
      <c r="A466" s="60"/>
    </row>
    <row r="467" spans="1:1" ht="21.95" customHeight="1" x14ac:dyDescent="0.15">
      <c r="A467" s="60"/>
    </row>
  </sheetData>
  <autoFilter ref="H1:H467"/>
  <mergeCells count="15">
    <mergeCell ref="A404:E404"/>
    <mergeCell ref="A424:E424"/>
    <mergeCell ref="A425:E425"/>
    <mergeCell ref="A194:E194"/>
    <mergeCell ref="A299:E299"/>
    <mergeCell ref="A320:E320"/>
    <mergeCell ref="A341:E341"/>
    <mergeCell ref="A362:E362"/>
    <mergeCell ref="A383:E383"/>
    <mergeCell ref="S4:S5"/>
    <mergeCell ref="A4:A5"/>
    <mergeCell ref="B4:B5"/>
    <mergeCell ref="C4:F4"/>
    <mergeCell ref="G4:K4"/>
    <mergeCell ref="N4:O4"/>
  </mergeCells>
  <phoneticPr fontId="3" type="noConversion"/>
  <printOptions horizontalCentered="1"/>
  <pageMargins left="0.51181102362204722" right="0.23622047244094491" top="0.82677165354330717" bottom="7.874015748031496E-2" header="0.19685039370078741" footer="0"/>
  <pageSetup paperSize="9" scale="76" orientation="landscape" horizontalDpi="1200" verticalDpi="1200" r:id="rId1"/>
  <headerFooter alignWithMargins="0">
    <oddHeader xml:space="preserve">&amp;C
</oddHeader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M658"/>
  <sheetViews>
    <sheetView showZeros="0" view="pageBreakPreview" zoomScaleNormal="100" zoomScaleSheetLayoutView="100" workbookViewId="0">
      <selection activeCell="B6" sqref="B6"/>
    </sheetView>
  </sheetViews>
  <sheetFormatPr defaultColWidth="6.109375" defaultRowHeight="21.95" customHeight="1" x14ac:dyDescent="0.15"/>
  <cols>
    <col min="1" max="1" width="4.33203125" style="9" customWidth="1"/>
    <col min="2" max="3" width="6.77734375" style="9" customWidth="1"/>
    <col min="4" max="4" width="4.77734375" style="9" customWidth="1"/>
    <col min="5" max="5" width="6.77734375" style="16" customWidth="1"/>
    <col min="6" max="6" width="7.6640625" style="16" customWidth="1"/>
    <col min="7" max="7" width="6.33203125" style="16" hidden="1" customWidth="1"/>
    <col min="8" max="8" width="6.77734375" style="9" customWidth="1"/>
    <col min="9" max="9" width="4.77734375" style="9" customWidth="1"/>
    <col min="10" max="10" width="7.44140625" style="16" customWidth="1"/>
    <col min="11" max="11" width="7.6640625" style="17" customWidth="1"/>
    <col min="12" max="12" width="8.6640625" style="18" customWidth="1"/>
    <col min="13" max="13" width="15.77734375" style="86" customWidth="1"/>
    <col min="14" max="14" width="8.6640625" style="18" customWidth="1"/>
    <col min="15" max="15" width="15.77734375" style="86" customWidth="1"/>
    <col min="16" max="16" width="7.33203125" style="9" customWidth="1"/>
    <col min="17" max="17" width="13.77734375" style="9" customWidth="1"/>
    <col min="18" max="18" width="7.33203125" style="9" customWidth="1"/>
    <col min="19" max="19" width="6.88671875" style="9" customWidth="1"/>
    <col min="20" max="21" width="6.109375" style="9" customWidth="1"/>
    <col min="22" max="22" width="6.109375" style="41" customWidth="1"/>
    <col min="23" max="23" width="1.21875" style="9" customWidth="1"/>
    <col min="24" max="24" width="6.109375" style="9" customWidth="1"/>
    <col min="25" max="25" width="6.109375" style="41" customWidth="1"/>
    <col min="26" max="26" width="5" style="9" customWidth="1"/>
    <col min="27" max="27" width="5" style="41" customWidth="1"/>
    <col min="28" max="28" width="1" style="9" customWidth="1"/>
    <col min="29" max="29" width="4.88671875" style="9" customWidth="1"/>
    <col min="30" max="30" width="4.88671875" style="41" customWidth="1"/>
    <col min="31" max="31" width="6.109375" style="9" customWidth="1"/>
    <col min="32" max="32" width="6.109375" style="41" customWidth="1"/>
    <col min="33" max="33" width="1.109375" style="9" customWidth="1"/>
    <col min="34" max="34" width="5.33203125" style="9" customWidth="1"/>
    <col min="35" max="35" width="5.33203125" style="41" customWidth="1"/>
    <col min="36" max="36" width="8.88671875" style="9" customWidth="1"/>
    <col min="37" max="37" width="8" style="9" customWidth="1"/>
    <col min="38" max="16384" width="6.109375" style="9"/>
  </cols>
  <sheetData>
    <row r="1" spans="1:39" s="74" customFormat="1" ht="38.25" customHeight="1" x14ac:dyDescent="0.15">
      <c r="A1" s="108" t="s">
        <v>80</v>
      </c>
      <c r="B1" s="109"/>
      <c r="C1" s="109"/>
      <c r="D1" s="109"/>
      <c r="E1" s="109"/>
      <c r="F1" s="109"/>
      <c r="G1" s="109"/>
      <c r="H1" s="110"/>
      <c r="I1" s="111"/>
      <c r="J1" s="109"/>
      <c r="K1" s="112"/>
      <c r="L1" s="111"/>
      <c r="M1" s="111"/>
      <c r="N1" s="111"/>
      <c r="O1" s="111"/>
      <c r="P1" s="111"/>
      <c r="Q1" s="111"/>
      <c r="R1" s="111"/>
      <c r="S1" s="111"/>
    </row>
    <row r="2" spans="1:39" s="61" customFormat="1" ht="11.1" customHeight="1" x14ac:dyDescent="0.15">
      <c r="A2" s="113"/>
      <c r="B2" s="113"/>
      <c r="C2" s="113"/>
      <c r="D2" s="113"/>
      <c r="E2" s="113"/>
      <c r="F2" s="113"/>
      <c r="G2" s="113"/>
      <c r="H2" s="114"/>
      <c r="I2" s="115"/>
      <c r="J2" s="113"/>
      <c r="K2" s="116"/>
      <c r="L2" s="117"/>
      <c r="M2" s="117"/>
      <c r="N2" s="117"/>
      <c r="O2" s="117"/>
      <c r="P2" s="117"/>
      <c r="Q2" s="117"/>
      <c r="R2" s="117"/>
      <c r="S2" s="115"/>
    </row>
    <row r="3" spans="1:39" s="57" customFormat="1" ht="24.95" customHeight="1" thickBot="1" x14ac:dyDescent="0.2">
      <c r="A3" s="59"/>
      <c r="B3" s="118"/>
      <c r="C3" s="118"/>
      <c r="D3" s="118"/>
      <c r="E3" s="118"/>
      <c r="F3" s="118"/>
      <c r="G3" s="118"/>
      <c r="H3" s="75"/>
      <c r="I3" s="76"/>
      <c r="J3" s="118"/>
      <c r="K3" s="77"/>
      <c r="L3" s="78"/>
      <c r="M3" s="119"/>
      <c r="N3" s="78"/>
      <c r="O3" s="119"/>
      <c r="P3" s="119"/>
      <c r="Q3" s="119"/>
      <c r="R3" s="119"/>
      <c r="S3" s="418"/>
      <c r="V3" s="79"/>
    </row>
    <row r="4" spans="1:39" s="57" customFormat="1" ht="21" customHeight="1" x14ac:dyDescent="0.15">
      <c r="A4" s="1100" t="s">
        <v>21</v>
      </c>
      <c r="B4" s="1102" t="s">
        <v>67</v>
      </c>
      <c r="C4" s="1104" t="s">
        <v>68</v>
      </c>
      <c r="D4" s="1105"/>
      <c r="E4" s="1105"/>
      <c r="F4" s="1105"/>
      <c r="G4" s="1106" t="s">
        <v>178</v>
      </c>
      <c r="H4" s="1106"/>
      <c r="I4" s="1106"/>
      <c r="J4" s="1106"/>
      <c r="K4" s="1106"/>
      <c r="L4" s="162" t="s">
        <v>197</v>
      </c>
      <c r="M4" s="162"/>
      <c r="N4" s="1107" t="s">
        <v>198</v>
      </c>
      <c r="O4" s="1108"/>
      <c r="P4" s="162" t="s">
        <v>69</v>
      </c>
      <c r="Q4" s="162"/>
      <c r="R4" s="162"/>
      <c r="S4" s="1098" t="s">
        <v>25</v>
      </c>
    </row>
    <row r="5" spans="1:39" s="57" customFormat="1" ht="35.1" customHeight="1" thickBot="1" x14ac:dyDescent="0.2">
      <c r="A5" s="1101"/>
      <c r="B5" s="1103"/>
      <c r="C5" s="194" t="s">
        <v>70</v>
      </c>
      <c r="D5" s="194" t="s">
        <v>71</v>
      </c>
      <c r="E5" s="195" t="s">
        <v>0</v>
      </c>
      <c r="F5" s="195" t="s">
        <v>73</v>
      </c>
      <c r="G5" s="210" t="s">
        <v>179</v>
      </c>
      <c r="H5" s="211" t="s">
        <v>180</v>
      </c>
      <c r="I5" s="212" t="s">
        <v>181</v>
      </c>
      <c r="J5" s="213" t="s">
        <v>182</v>
      </c>
      <c r="K5" s="213" t="s">
        <v>183</v>
      </c>
      <c r="L5" s="422" t="s">
        <v>74</v>
      </c>
      <c r="M5" s="422" t="s">
        <v>75</v>
      </c>
      <c r="N5" s="334" t="s">
        <v>74</v>
      </c>
      <c r="O5" s="334" t="s">
        <v>75</v>
      </c>
      <c r="P5" s="196" t="s">
        <v>76</v>
      </c>
      <c r="Q5" s="196" t="s">
        <v>77</v>
      </c>
      <c r="R5" s="196" t="s">
        <v>78</v>
      </c>
      <c r="S5" s="1099"/>
      <c r="AE5" s="58"/>
      <c r="AF5" s="58"/>
      <c r="AG5" s="58"/>
    </row>
    <row r="6" spans="1:39" s="67" customFormat="1" ht="24" customHeight="1" x14ac:dyDescent="0.15">
      <c r="A6" s="214">
        <v>1</v>
      </c>
      <c r="B6" s="215"/>
      <c r="C6" s="216"/>
      <c r="D6" s="216"/>
      <c r="E6" s="217"/>
      <c r="F6" s="217"/>
      <c r="G6" s="218"/>
      <c r="H6" s="218"/>
      <c r="I6" s="218"/>
      <c r="J6" s="219"/>
      <c r="K6" s="219"/>
      <c r="L6" s="144"/>
      <c r="M6" s="472"/>
      <c r="N6" s="438"/>
      <c r="O6" s="423"/>
      <c r="P6" s="220"/>
      <c r="Q6" s="220"/>
      <c r="R6" s="220"/>
      <c r="S6" s="221"/>
      <c r="T6" s="64" t="s">
        <v>27</v>
      </c>
      <c r="U6" s="64">
        <f>COUNTIF(D6:D25,"전")</f>
        <v>0</v>
      </c>
      <c r="V6" s="65">
        <f>COUNTIF(I6:I25,"전")</f>
        <v>0</v>
      </c>
      <c r="W6" s="64" t="s">
        <v>26</v>
      </c>
      <c r="X6" s="64">
        <f>SUMIF(D6:D25,"전",F6:F25)</f>
        <v>0</v>
      </c>
      <c r="Y6" s="65">
        <f>SUMIF(I6:I25,"전",K6:K25)</f>
        <v>0</v>
      </c>
      <c r="Z6" s="64">
        <f>COUNTIF(AJ6:AJ25,"전국")+COUNTIF(AJ6:AJ25,"전공")</f>
        <v>0</v>
      </c>
      <c r="AA6" s="65">
        <f>COUNTIF(AK6:AK25,"전국")+COUNTIF(AK6:AK25,"전공")</f>
        <v>0</v>
      </c>
      <c r="AB6" s="64" t="s">
        <v>26</v>
      </c>
      <c r="AC6" s="64">
        <f>SUMIF(AJ6:AJ25,"전국",F6:F25)+SUMIF(AJ6:AJ25,"전공",F6:F25)</f>
        <v>0</v>
      </c>
      <c r="AD6" s="65">
        <f>SUMIF(AK6:AK25,"전국",K6:K25)+SUMIF(AK6:AK25,"전공",K6:K25)</f>
        <v>0</v>
      </c>
      <c r="AE6" s="64">
        <f t="shared" ref="AE6:AF22" si="0">U6-Z6</f>
        <v>0</v>
      </c>
      <c r="AF6" s="65">
        <f t="shared" si="0"/>
        <v>0</v>
      </c>
      <c r="AG6" s="64" t="s">
        <v>26</v>
      </c>
      <c r="AH6" s="64">
        <f t="shared" ref="AH6:AI22" si="1">X6-AC6</f>
        <v>0</v>
      </c>
      <c r="AI6" s="65">
        <f t="shared" si="1"/>
        <v>0</v>
      </c>
      <c r="AJ6" s="64" t="str">
        <f t="shared" ref="AJ6:AJ25" si="2">CONCATENATE(D6,L6)</f>
        <v/>
      </c>
      <c r="AK6" s="64" t="str">
        <f>CONCATENATE(I6,N6)</f>
        <v/>
      </c>
      <c r="AL6" s="66"/>
      <c r="AM6" s="66"/>
    </row>
    <row r="7" spans="1:39" s="67" customFormat="1" ht="24" customHeight="1" x14ac:dyDescent="0.15">
      <c r="A7" s="146">
        <v>2</v>
      </c>
      <c r="B7" s="222" t="s">
        <v>49</v>
      </c>
      <c r="C7" s="223"/>
      <c r="D7" s="222"/>
      <c r="E7" s="135"/>
      <c r="F7" s="135"/>
      <c r="G7" s="224"/>
      <c r="H7" s="225"/>
      <c r="I7" s="226"/>
      <c r="J7" s="227"/>
      <c r="K7" s="227"/>
      <c r="L7" s="137"/>
      <c r="M7" s="137"/>
      <c r="N7" s="428"/>
      <c r="O7" s="428"/>
      <c r="P7" s="102"/>
      <c r="Q7" s="102"/>
      <c r="R7" s="132"/>
      <c r="S7" s="206"/>
      <c r="T7" s="64" t="s">
        <v>28</v>
      </c>
      <c r="U7" s="64">
        <f>COUNTIF(D6:D25,"답")</f>
        <v>0</v>
      </c>
      <c r="V7" s="65">
        <f>COUNTIF(I6:I25,"답")</f>
        <v>0</v>
      </c>
      <c r="W7" s="64" t="s">
        <v>26</v>
      </c>
      <c r="X7" s="64">
        <f>SUMIF(D6:D25,"답",F6:F25)</f>
        <v>0</v>
      </c>
      <c r="Y7" s="65">
        <f>SUMIF(I6:I25,"답",K6:K25)</f>
        <v>0</v>
      </c>
      <c r="Z7" s="64">
        <f>COUNTIF(AJ6:AJ25,"답국")+COUNTIF(AJ6:AJ25,"답공")</f>
        <v>0</v>
      </c>
      <c r="AA7" s="65">
        <f>COUNTIF(AK6:AK25,"답국")+COUNTIF(AK6:AK25,"답공")</f>
        <v>0</v>
      </c>
      <c r="AB7" s="64" t="s">
        <v>26</v>
      </c>
      <c r="AC7" s="64">
        <f>SUMIF(AJ6:AJ25,"답국",F6:F25)+SUMIF(AJ6:AJ25,"답공",F6:F25)</f>
        <v>0</v>
      </c>
      <c r="AD7" s="65">
        <f>SUMIF(AK6:AK25,"답국",K6:K25)+SUMIF(AK6:AK25,"답공",K6:K25)</f>
        <v>0</v>
      </c>
      <c r="AE7" s="64">
        <f t="shared" si="0"/>
        <v>0</v>
      </c>
      <c r="AF7" s="65">
        <f t="shared" si="0"/>
        <v>0</v>
      </c>
      <c r="AG7" s="64" t="s">
        <v>26</v>
      </c>
      <c r="AH7" s="64">
        <f t="shared" si="1"/>
        <v>0</v>
      </c>
      <c r="AI7" s="65">
        <f t="shared" si="1"/>
        <v>0</v>
      </c>
      <c r="AJ7" s="64" t="str">
        <f t="shared" si="2"/>
        <v/>
      </c>
      <c r="AK7" s="64" t="str">
        <f t="shared" ref="AK7:AK70" si="3">CONCATENATE(I7,N7)</f>
        <v/>
      </c>
      <c r="AL7" s="66"/>
      <c r="AM7" s="66"/>
    </row>
    <row r="8" spans="1:39" s="67" customFormat="1" ht="24" customHeight="1" x14ac:dyDescent="0.15">
      <c r="A8" s="146">
        <v>3</v>
      </c>
      <c r="B8" s="222" t="s">
        <v>49</v>
      </c>
      <c r="C8" s="223"/>
      <c r="D8" s="222"/>
      <c r="E8" s="135"/>
      <c r="F8" s="135"/>
      <c r="G8" s="228"/>
      <c r="H8" s="225"/>
      <c r="I8" s="226"/>
      <c r="J8" s="227"/>
      <c r="K8" s="227"/>
      <c r="L8" s="128"/>
      <c r="M8" s="137"/>
      <c r="N8" s="425"/>
      <c r="O8" s="428"/>
      <c r="P8" s="123"/>
      <c r="Q8" s="123"/>
      <c r="R8" s="123"/>
      <c r="S8" s="206"/>
      <c r="T8" s="64" t="s">
        <v>44</v>
      </c>
      <c r="U8" s="64">
        <f>COUNTIF(D6:D25,"임")</f>
        <v>0</v>
      </c>
      <c r="V8" s="65">
        <f>COUNTIF(I6:I25,"임")</f>
        <v>0</v>
      </c>
      <c r="W8" s="64" t="s">
        <v>26</v>
      </c>
      <c r="X8" s="64">
        <f>SUMIF(D6:D25,"임",F6:F25)</f>
        <v>0</v>
      </c>
      <c r="Y8" s="65">
        <f>SUMIF(I6:I25,"임",K6:K25)</f>
        <v>0</v>
      </c>
      <c r="Z8" s="64">
        <f>COUNTIF(AJ6:AJ25,"임국")+COUNTIF(AJ6:AJ25,"임공")</f>
        <v>0</v>
      </c>
      <c r="AA8" s="65">
        <f>COUNTIF(AK6:AK25,"임국")+COUNTIF(AK6:AK25,"임공")</f>
        <v>0</v>
      </c>
      <c r="AB8" s="64" t="s">
        <v>26</v>
      </c>
      <c r="AC8" s="64">
        <f>SUMIF(AJ6:AJ25,"임국",F6:F25)+SUMIF(AJ6:AJ25,"임공",F6:F25)</f>
        <v>0</v>
      </c>
      <c r="AD8" s="65">
        <f>SUMIF(AK6:AK25,"임국",K6:K25)+SUMIF(AK6:AK25,"임공",K6:K25)</f>
        <v>0</v>
      </c>
      <c r="AE8" s="64">
        <f t="shared" si="0"/>
        <v>0</v>
      </c>
      <c r="AF8" s="65">
        <f t="shared" si="0"/>
        <v>0</v>
      </c>
      <c r="AG8" s="64" t="s">
        <v>26</v>
      </c>
      <c r="AH8" s="64">
        <f t="shared" si="1"/>
        <v>0</v>
      </c>
      <c r="AI8" s="65">
        <f t="shared" si="1"/>
        <v>0</v>
      </c>
      <c r="AJ8" s="64" t="str">
        <f t="shared" si="2"/>
        <v/>
      </c>
      <c r="AK8" s="64" t="str">
        <f t="shared" si="3"/>
        <v/>
      </c>
      <c r="AL8" s="66"/>
      <c r="AM8" s="66"/>
    </row>
    <row r="9" spans="1:39" s="67" customFormat="1" ht="24" customHeight="1" x14ac:dyDescent="0.15">
      <c r="A9" s="146">
        <v>4</v>
      </c>
      <c r="B9" s="222" t="s">
        <v>49</v>
      </c>
      <c r="C9" s="229"/>
      <c r="D9" s="229"/>
      <c r="E9" s="230"/>
      <c r="F9" s="230"/>
      <c r="G9" s="228"/>
      <c r="H9" s="228"/>
      <c r="I9" s="228"/>
      <c r="J9" s="231"/>
      <c r="K9" s="231"/>
      <c r="L9" s="128"/>
      <c r="M9" s="128"/>
      <c r="N9" s="425"/>
      <c r="O9" s="425"/>
      <c r="P9" s="123"/>
      <c r="Q9" s="132"/>
      <c r="R9" s="132"/>
      <c r="S9" s="206"/>
      <c r="T9" s="64" t="s">
        <v>45</v>
      </c>
      <c r="U9" s="64">
        <f>COUNTIF(D6:D25,"대")</f>
        <v>0</v>
      </c>
      <c r="V9" s="65">
        <f>COUNTIF(I6:I25,"대")</f>
        <v>0</v>
      </c>
      <c r="W9" s="64" t="s">
        <v>26</v>
      </c>
      <c r="X9" s="64">
        <f>SUMIF(D6:D25,"대",F6:F25)</f>
        <v>0</v>
      </c>
      <c r="Y9" s="65">
        <f>SUMIF(I6:I25,"대",K6:K25)</f>
        <v>0</v>
      </c>
      <c r="Z9" s="64">
        <f>COUNTIF(AJ6:AJ25,"대국")+COUNTIF(AJ6:AJ25,"대공")</f>
        <v>0</v>
      </c>
      <c r="AA9" s="65">
        <f>COUNTIF(AK6:AK25,"대국")+COUNTIF(AK6:AK25,"대공")</f>
        <v>0</v>
      </c>
      <c r="AB9" s="64" t="s">
        <v>26</v>
      </c>
      <c r="AC9" s="64">
        <f>SUMIF(AJ6:AJ25,"대국",F6:F25)+SUMIF(AJ6:AJ25,"대공",F6:F25)</f>
        <v>0</v>
      </c>
      <c r="AD9" s="65">
        <f>SUMIF(AK6:AK25,"대국",K6:K25)+SUMIF(AK6:AK25,"대공",K6:K25)</f>
        <v>0</v>
      </c>
      <c r="AE9" s="64">
        <f t="shared" si="0"/>
        <v>0</v>
      </c>
      <c r="AF9" s="65">
        <f t="shared" si="0"/>
        <v>0</v>
      </c>
      <c r="AG9" s="64" t="s">
        <v>26</v>
      </c>
      <c r="AH9" s="64">
        <f t="shared" si="1"/>
        <v>0</v>
      </c>
      <c r="AI9" s="65">
        <f t="shared" si="1"/>
        <v>0</v>
      </c>
      <c r="AJ9" s="64" t="str">
        <f t="shared" si="2"/>
        <v/>
      </c>
      <c r="AK9" s="64" t="str">
        <f t="shared" si="3"/>
        <v/>
      </c>
      <c r="AL9" s="66"/>
      <c r="AM9" s="66"/>
    </row>
    <row r="10" spans="1:39" s="67" customFormat="1" ht="24" customHeight="1" x14ac:dyDescent="0.15">
      <c r="A10" s="146">
        <v>5</v>
      </c>
      <c r="B10" s="222" t="s">
        <v>49</v>
      </c>
      <c r="C10" s="223"/>
      <c r="D10" s="222"/>
      <c r="E10" s="135"/>
      <c r="F10" s="135"/>
      <c r="G10" s="224"/>
      <c r="H10" s="225"/>
      <c r="I10" s="226"/>
      <c r="J10" s="227"/>
      <c r="K10" s="227"/>
      <c r="L10" s="128"/>
      <c r="M10" s="128"/>
      <c r="N10" s="425"/>
      <c r="O10" s="425"/>
      <c r="P10" s="132"/>
      <c r="Q10" s="102"/>
      <c r="R10" s="132"/>
      <c r="S10" s="206"/>
      <c r="T10" s="64" t="s">
        <v>31</v>
      </c>
      <c r="U10" s="64">
        <f>COUNTIF(D6:D25,"도")</f>
        <v>0</v>
      </c>
      <c r="V10" s="65">
        <f>COUNTIF(I6:I25,"도")</f>
        <v>0</v>
      </c>
      <c r="W10" s="64" t="s">
        <v>26</v>
      </c>
      <c r="X10" s="64">
        <f>SUMIF(D6:D25,"도",F6:F25)</f>
        <v>0</v>
      </c>
      <c r="Y10" s="65">
        <f>SUMIF(I6:I25,"도",K6:K25)</f>
        <v>0</v>
      </c>
      <c r="Z10" s="64">
        <f>COUNTIF(AJ6:AJ25,"도국")+COUNTIF(AJ6:AJ25,"도공")</f>
        <v>0</v>
      </c>
      <c r="AA10" s="65">
        <f>COUNTIF(AK6:AK25,"도국")+COUNTIF(AK6:AK25,"도공")</f>
        <v>0</v>
      </c>
      <c r="AB10" s="64" t="s">
        <v>26</v>
      </c>
      <c r="AC10" s="64">
        <f>SUMIF(AJ6:AJ25,"도국",F6:F25)+SUMIF(AJ6:AJ25,"도공",F6:F25)</f>
        <v>0</v>
      </c>
      <c r="AD10" s="65">
        <f>SUMIF(AK6:AK25,"도국",K6:K25)+SUMIF(AK6:AK25,"도공",K6:K25)</f>
        <v>0</v>
      </c>
      <c r="AE10" s="64">
        <f t="shared" si="0"/>
        <v>0</v>
      </c>
      <c r="AF10" s="65">
        <f t="shared" si="0"/>
        <v>0</v>
      </c>
      <c r="AG10" s="64" t="s">
        <v>26</v>
      </c>
      <c r="AH10" s="64">
        <f t="shared" si="1"/>
        <v>0</v>
      </c>
      <c r="AI10" s="65">
        <f t="shared" si="1"/>
        <v>0</v>
      </c>
      <c r="AJ10" s="64" t="str">
        <f t="shared" si="2"/>
        <v/>
      </c>
      <c r="AK10" s="64" t="str">
        <f t="shared" si="3"/>
        <v/>
      </c>
      <c r="AL10" s="66"/>
      <c r="AM10" s="66"/>
    </row>
    <row r="11" spans="1:39" s="67" customFormat="1" ht="24" customHeight="1" x14ac:dyDescent="0.15">
      <c r="A11" s="146">
        <v>6</v>
      </c>
      <c r="B11" s="222" t="s">
        <v>49</v>
      </c>
      <c r="C11" s="136"/>
      <c r="D11" s="133"/>
      <c r="E11" s="135"/>
      <c r="F11" s="135"/>
      <c r="G11" s="224"/>
      <c r="H11" s="232"/>
      <c r="I11" s="233"/>
      <c r="J11" s="227"/>
      <c r="K11" s="227"/>
      <c r="L11" s="128"/>
      <c r="M11" s="128"/>
      <c r="N11" s="425"/>
      <c r="O11" s="425"/>
      <c r="P11" s="102"/>
      <c r="Q11" s="102"/>
      <c r="R11" s="132"/>
      <c r="S11" s="206"/>
      <c r="T11" s="64" t="s">
        <v>32</v>
      </c>
      <c r="U11" s="68">
        <f>COUNTIF(D6:D25,"천")</f>
        <v>0</v>
      </c>
      <c r="V11" s="69">
        <f>COUNTIF(I6:I25,"천")</f>
        <v>0</v>
      </c>
      <c r="W11" s="64" t="s">
        <v>26</v>
      </c>
      <c r="X11" s="64">
        <f>SUMIF(D6:D25,"천",F6:F25)</f>
        <v>0</v>
      </c>
      <c r="Y11" s="65">
        <f>SUMIF(I6:I25,"천",K6:K25)</f>
        <v>0</v>
      </c>
      <c r="Z11" s="64">
        <f>COUNTIF(AJ6:AJ25,"천국")+COUNTIF(AJ6:AJ25,"천공")</f>
        <v>0</v>
      </c>
      <c r="AA11" s="65">
        <f>COUNTIF(AK6:AK25,"천국")+COUNTIF(AK6:AK25,"천공")</f>
        <v>0</v>
      </c>
      <c r="AB11" s="64" t="s">
        <v>26</v>
      </c>
      <c r="AC11" s="64">
        <f>SUMIF(AJ6:AJ25,"천국",F6:F25)+SUMIF(AJ6:AJ25,"천공",F6:F25)</f>
        <v>0</v>
      </c>
      <c r="AD11" s="65">
        <f>SUMIF(AK6:AK25,"천국",K6:K25)+SUMIF(AK6:AK25,"천공",K6:K25)</f>
        <v>0</v>
      </c>
      <c r="AE11" s="64">
        <f t="shared" si="0"/>
        <v>0</v>
      </c>
      <c r="AF11" s="65">
        <f t="shared" si="0"/>
        <v>0</v>
      </c>
      <c r="AG11" s="64" t="s">
        <v>26</v>
      </c>
      <c r="AH11" s="64">
        <f t="shared" si="1"/>
        <v>0</v>
      </c>
      <c r="AI11" s="65">
        <f t="shared" si="1"/>
        <v>0</v>
      </c>
      <c r="AJ11" s="64" t="str">
        <f t="shared" si="2"/>
        <v/>
      </c>
      <c r="AK11" s="64" t="str">
        <f t="shared" si="3"/>
        <v/>
      </c>
      <c r="AL11" s="66"/>
      <c r="AM11" s="66"/>
    </row>
    <row r="12" spans="1:39" s="67" customFormat="1" ht="24" customHeight="1" x14ac:dyDescent="0.15">
      <c r="A12" s="146">
        <v>7</v>
      </c>
      <c r="B12" s="222" t="s">
        <v>49</v>
      </c>
      <c r="C12" s="223"/>
      <c r="D12" s="222"/>
      <c r="E12" s="135"/>
      <c r="F12" s="135"/>
      <c r="G12" s="224"/>
      <c r="H12" s="225"/>
      <c r="I12" s="226"/>
      <c r="J12" s="227"/>
      <c r="K12" s="227"/>
      <c r="L12" s="128"/>
      <c r="M12" s="128"/>
      <c r="N12" s="425"/>
      <c r="O12" s="425"/>
      <c r="P12" s="102"/>
      <c r="Q12" s="123"/>
      <c r="R12" s="123"/>
      <c r="S12" s="206"/>
      <c r="T12" s="64" t="s">
        <v>33</v>
      </c>
      <c r="U12" s="64">
        <f>COUNTIF(D6:D25,"구")</f>
        <v>0</v>
      </c>
      <c r="V12" s="65">
        <f>COUNTIF(I6:I25,"구")</f>
        <v>0</v>
      </c>
      <c r="W12" s="64" t="s">
        <v>26</v>
      </c>
      <c r="X12" s="64">
        <f>SUMIF(D6:D25,"구",F6:F25)</f>
        <v>0</v>
      </c>
      <c r="Y12" s="65">
        <f>SUMIF(I6:I25,"구",K6:K25)</f>
        <v>0</v>
      </c>
      <c r="Z12" s="64">
        <f>COUNTIF(AJ6:AJ25,"구국")+COUNTIF(AJ6:AJ25,"구공")</f>
        <v>0</v>
      </c>
      <c r="AA12" s="65">
        <f>COUNTIF(AK6:AK25,"구국")+COUNTIF(AK6:AK25,"구공")</f>
        <v>0</v>
      </c>
      <c r="AB12" s="64" t="s">
        <v>26</v>
      </c>
      <c r="AC12" s="64">
        <f>SUMIF(AJ6:AJ25,"구국",F6:F25)+SUMIF(AJ6:AJ25,"구공",F6:F25)</f>
        <v>0</v>
      </c>
      <c r="AD12" s="65">
        <f>SUMIF(AK6:AK25,"구국",K6:K25)+SUMIF(AK6:AK25,"구공",K6:K25)</f>
        <v>0</v>
      </c>
      <c r="AE12" s="64">
        <f t="shared" si="0"/>
        <v>0</v>
      </c>
      <c r="AF12" s="65">
        <f t="shared" si="0"/>
        <v>0</v>
      </c>
      <c r="AG12" s="64" t="s">
        <v>26</v>
      </c>
      <c r="AH12" s="64">
        <f t="shared" si="1"/>
        <v>0</v>
      </c>
      <c r="AI12" s="65">
        <f t="shared" si="1"/>
        <v>0</v>
      </c>
      <c r="AJ12" s="64" t="str">
        <f t="shared" si="2"/>
        <v/>
      </c>
      <c r="AK12" s="64" t="str">
        <f t="shared" si="3"/>
        <v/>
      </c>
      <c r="AL12" s="66"/>
      <c r="AM12" s="66"/>
    </row>
    <row r="13" spans="1:39" s="67" customFormat="1" ht="24" customHeight="1" x14ac:dyDescent="0.15">
      <c r="A13" s="146">
        <v>8</v>
      </c>
      <c r="B13" s="222" t="s">
        <v>49</v>
      </c>
      <c r="C13" s="229"/>
      <c r="D13" s="229"/>
      <c r="E13" s="230"/>
      <c r="F13" s="230"/>
      <c r="G13" s="228"/>
      <c r="H13" s="228"/>
      <c r="I13" s="228"/>
      <c r="J13" s="231"/>
      <c r="K13" s="231"/>
      <c r="L13" s="128"/>
      <c r="M13" s="128"/>
      <c r="N13" s="425"/>
      <c r="O13" s="425"/>
      <c r="P13" s="123"/>
      <c r="Q13" s="123"/>
      <c r="R13" s="123"/>
      <c r="S13" s="206"/>
      <c r="T13" s="64" t="s">
        <v>34</v>
      </c>
      <c r="U13" s="64">
        <f>COUNTIF(D6:D25,"제")</f>
        <v>0</v>
      </c>
      <c r="V13" s="65">
        <f>COUNTIF(I6:I25,"제")</f>
        <v>0</v>
      </c>
      <c r="W13" s="64" t="s">
        <v>26</v>
      </c>
      <c r="X13" s="64">
        <f>SUMIF(D6:D25,"제",F6:F25)</f>
        <v>0</v>
      </c>
      <c r="Y13" s="65">
        <f>SUMIF(I6:I25,"제",K6:K25)</f>
        <v>0</v>
      </c>
      <c r="Z13" s="64">
        <f>COUNTIF(AJ6:AJ25,"제국")+COUNTIF(AJ6:AJ25,"제공")</f>
        <v>0</v>
      </c>
      <c r="AA13" s="65">
        <f>COUNTIF(AK6:AK25,"제국")+COUNTIF(AK6:AK25,"제공")</f>
        <v>0</v>
      </c>
      <c r="AB13" s="64" t="s">
        <v>26</v>
      </c>
      <c r="AC13" s="64">
        <f>SUMIF(AJ6:AJ25,"제국",F6:F25)+SUMIF(AJ6:AJ25,"제공",F6:F25)</f>
        <v>0</v>
      </c>
      <c r="AD13" s="65">
        <f>SUMIF(AK6:AK25,"제국",K6:K25)+SUMIF(AK6:AK25,"제공",K6:K25)</f>
        <v>0</v>
      </c>
      <c r="AE13" s="64">
        <f t="shared" si="0"/>
        <v>0</v>
      </c>
      <c r="AF13" s="65">
        <f t="shared" si="0"/>
        <v>0</v>
      </c>
      <c r="AG13" s="64" t="s">
        <v>26</v>
      </c>
      <c r="AH13" s="64">
        <f t="shared" si="1"/>
        <v>0</v>
      </c>
      <c r="AI13" s="65">
        <f t="shared" si="1"/>
        <v>0</v>
      </c>
      <c r="AJ13" s="64" t="str">
        <f t="shared" si="2"/>
        <v/>
      </c>
      <c r="AK13" s="64" t="str">
        <f t="shared" si="3"/>
        <v/>
      </c>
      <c r="AL13" s="66"/>
      <c r="AM13" s="66"/>
    </row>
    <row r="14" spans="1:39" s="67" customFormat="1" ht="24" customHeight="1" x14ac:dyDescent="0.15">
      <c r="A14" s="146">
        <v>9</v>
      </c>
      <c r="B14" s="222" t="s">
        <v>49</v>
      </c>
      <c r="C14" s="229"/>
      <c r="D14" s="229"/>
      <c r="E14" s="230"/>
      <c r="F14" s="230"/>
      <c r="G14" s="228"/>
      <c r="H14" s="228"/>
      <c r="I14" s="228"/>
      <c r="J14" s="231"/>
      <c r="K14" s="231"/>
      <c r="L14" s="128"/>
      <c r="M14" s="128"/>
      <c r="N14" s="425"/>
      <c r="O14" s="425"/>
      <c r="P14" s="123"/>
      <c r="Q14" s="132"/>
      <c r="R14" s="132"/>
      <c r="S14" s="206"/>
      <c r="T14" s="64" t="s">
        <v>46</v>
      </c>
      <c r="U14" s="64">
        <f>COUNTIF(D6:D25,"유")</f>
        <v>0</v>
      </c>
      <c r="V14" s="65">
        <f>COUNTIF(I6:I25,"유")</f>
        <v>0</v>
      </c>
      <c r="W14" s="64" t="s">
        <v>26</v>
      </c>
      <c r="X14" s="64">
        <f>SUMIF(D6:D25,"유",F6:F25)</f>
        <v>0</v>
      </c>
      <c r="Y14" s="65">
        <f>SUMIF(I6:I25,"유",K6:K25)</f>
        <v>0</v>
      </c>
      <c r="Z14" s="64">
        <f>COUNTIF(AJ6:AJ25,"유국")+COUNTIF(AJ6:AJ25,"유공")</f>
        <v>0</v>
      </c>
      <c r="AA14" s="65">
        <f>COUNTIF(AK6:AK25,"유국")+COUNTIF(AK6:AK25,"유공")</f>
        <v>0</v>
      </c>
      <c r="AB14" s="64" t="s">
        <v>26</v>
      </c>
      <c r="AC14" s="64">
        <f>SUMIF(AJ6:AJ25,"유국",F6:F25)+SUMIF(AJ6:AJ25,"유공",F6:F25)</f>
        <v>0</v>
      </c>
      <c r="AD14" s="65">
        <f>SUMIF(AK6:AK25,"유국",K6:K25)+SUMIF(AK6:AK25,"유공",K6:K25)</f>
        <v>0</v>
      </c>
      <c r="AE14" s="64">
        <f t="shared" si="0"/>
        <v>0</v>
      </c>
      <c r="AF14" s="65">
        <f t="shared" si="0"/>
        <v>0</v>
      </c>
      <c r="AG14" s="64" t="s">
        <v>26</v>
      </c>
      <c r="AH14" s="64">
        <f t="shared" si="1"/>
        <v>0</v>
      </c>
      <c r="AI14" s="65">
        <f t="shared" si="1"/>
        <v>0</v>
      </c>
      <c r="AJ14" s="64" t="str">
        <f t="shared" si="2"/>
        <v/>
      </c>
      <c r="AK14" s="64" t="str">
        <f t="shared" si="3"/>
        <v/>
      </c>
      <c r="AL14" s="66"/>
      <c r="AM14" s="66"/>
    </row>
    <row r="15" spans="1:39" s="67" customFormat="1" ht="24" customHeight="1" x14ac:dyDescent="0.15">
      <c r="A15" s="146">
        <v>10</v>
      </c>
      <c r="B15" s="222" t="s">
        <v>49</v>
      </c>
      <c r="C15" s="222"/>
      <c r="D15" s="222"/>
      <c r="E15" s="135"/>
      <c r="F15" s="135"/>
      <c r="G15" s="224"/>
      <c r="H15" s="226"/>
      <c r="I15" s="226"/>
      <c r="J15" s="227"/>
      <c r="K15" s="227"/>
      <c r="L15" s="128"/>
      <c r="M15" s="128"/>
      <c r="N15" s="425"/>
      <c r="O15" s="425"/>
      <c r="P15" s="132"/>
      <c r="Q15" s="102"/>
      <c r="R15" s="102"/>
      <c r="S15" s="206"/>
      <c r="T15" s="64" t="s">
        <v>47</v>
      </c>
      <c r="U15" s="64">
        <f>COUNTIF(D6:D25,"과")</f>
        <v>0</v>
      </c>
      <c r="V15" s="65">
        <f>COUNTIF(I6:I25,"과")</f>
        <v>0</v>
      </c>
      <c r="W15" s="64" t="s">
        <v>26</v>
      </c>
      <c r="X15" s="64">
        <f>SUMIF(D6:D25,"과",F6:F25)</f>
        <v>0</v>
      </c>
      <c r="Y15" s="65">
        <f>SUMIF(I6:I25,"과",K6:K25)</f>
        <v>0</v>
      </c>
      <c r="Z15" s="64">
        <f>COUNTIF(AJ6:AJ25,"과국")+COUNTIF(AJ6:AJ25,"과공")</f>
        <v>0</v>
      </c>
      <c r="AA15" s="65">
        <f>COUNTIF(AK6:AK25,"과국")+COUNTIF(AK6:AK25,"과공")</f>
        <v>0</v>
      </c>
      <c r="AB15" s="64" t="s">
        <v>26</v>
      </c>
      <c r="AC15" s="64">
        <f>SUMIF(AJ6:AJ25,"과국",F6:F25)+SUMIF(AJ6:AJ25,"과공",F6:F25)</f>
        <v>0</v>
      </c>
      <c r="AD15" s="65">
        <f>SUMIF(AK6:AK25,"과국",K6:K25)+SUMIF(AK6:AK25,"과공",K6:K25)</f>
        <v>0</v>
      </c>
      <c r="AE15" s="64">
        <f t="shared" si="0"/>
        <v>0</v>
      </c>
      <c r="AF15" s="65">
        <f t="shared" si="0"/>
        <v>0</v>
      </c>
      <c r="AG15" s="64" t="s">
        <v>26</v>
      </c>
      <c r="AH15" s="64">
        <f t="shared" si="1"/>
        <v>0</v>
      </c>
      <c r="AI15" s="65">
        <f t="shared" si="1"/>
        <v>0</v>
      </c>
      <c r="AJ15" s="64" t="str">
        <f t="shared" si="2"/>
        <v/>
      </c>
      <c r="AK15" s="64" t="str">
        <f t="shared" si="3"/>
        <v/>
      </c>
      <c r="AL15" s="66"/>
      <c r="AM15" s="66"/>
    </row>
    <row r="16" spans="1:39" s="67" customFormat="1" ht="24" customHeight="1" x14ac:dyDescent="0.15">
      <c r="A16" s="146">
        <v>11</v>
      </c>
      <c r="B16" s="222" t="s">
        <v>49</v>
      </c>
      <c r="C16" s="136"/>
      <c r="D16" s="133"/>
      <c r="E16" s="135"/>
      <c r="F16" s="135"/>
      <c r="G16" s="224"/>
      <c r="H16" s="232"/>
      <c r="I16" s="233"/>
      <c r="J16" s="227"/>
      <c r="K16" s="227"/>
      <c r="L16" s="128"/>
      <c r="M16" s="128"/>
      <c r="N16" s="425"/>
      <c r="O16" s="425"/>
      <c r="P16" s="102"/>
      <c r="Q16" s="132"/>
      <c r="R16" s="132"/>
      <c r="S16" s="206"/>
      <c r="T16" s="64" t="s">
        <v>36</v>
      </c>
      <c r="U16" s="64">
        <f>COUNTIF(D6:D25,"묘")</f>
        <v>0</v>
      </c>
      <c r="V16" s="65">
        <f>COUNTIF(I6:I25,"묘")</f>
        <v>0</v>
      </c>
      <c r="W16" s="64" t="s">
        <v>26</v>
      </c>
      <c r="X16" s="64">
        <f>SUMIF(D6:D25,"묘",F6:F25)</f>
        <v>0</v>
      </c>
      <c r="Y16" s="65">
        <f>SUMIF(I6:I25,"묘",K6:K25)</f>
        <v>0</v>
      </c>
      <c r="Z16" s="64">
        <f>COUNTIF(AJ6:AJ25,"묘국")+COUNTIF(AJ6:AJ25,"묘공")</f>
        <v>0</v>
      </c>
      <c r="AA16" s="65">
        <f>COUNTIF(AK6:AK25,"묘국")+COUNTIF(AK6:AK25,"묘공")</f>
        <v>0</v>
      </c>
      <c r="AB16" s="64" t="s">
        <v>26</v>
      </c>
      <c r="AC16" s="64">
        <f>SUMIF(AJ6:AJ25,"묘국",F6:F25)+SUMIF(AJ6:AJ25,"묘공",F6:F25)</f>
        <v>0</v>
      </c>
      <c r="AD16" s="65">
        <f>SUMIF(AK6:AK25,"묘국",K6:K25)+SUMIF(AK6:AK25,"묘공",K6:K25)</f>
        <v>0</v>
      </c>
      <c r="AE16" s="64">
        <f t="shared" si="0"/>
        <v>0</v>
      </c>
      <c r="AF16" s="65">
        <f t="shared" si="0"/>
        <v>0</v>
      </c>
      <c r="AG16" s="64" t="s">
        <v>26</v>
      </c>
      <c r="AH16" s="64">
        <f t="shared" si="1"/>
        <v>0</v>
      </c>
      <c r="AI16" s="65">
        <f t="shared" si="1"/>
        <v>0</v>
      </c>
      <c r="AJ16" s="64" t="str">
        <f t="shared" si="2"/>
        <v/>
      </c>
      <c r="AK16" s="64" t="str">
        <f t="shared" si="3"/>
        <v/>
      </c>
      <c r="AL16" s="66"/>
      <c r="AM16" s="66"/>
    </row>
    <row r="17" spans="1:39" s="67" customFormat="1" ht="24" customHeight="1" x14ac:dyDescent="0.15">
      <c r="A17" s="146">
        <v>12</v>
      </c>
      <c r="B17" s="222" t="s">
        <v>49</v>
      </c>
      <c r="C17" s="136"/>
      <c r="D17" s="133"/>
      <c r="E17" s="135"/>
      <c r="F17" s="135"/>
      <c r="G17" s="224"/>
      <c r="H17" s="232"/>
      <c r="I17" s="233"/>
      <c r="J17" s="227"/>
      <c r="K17" s="227"/>
      <c r="L17" s="128"/>
      <c r="M17" s="128"/>
      <c r="N17" s="425"/>
      <c r="O17" s="425"/>
      <c r="P17" s="132"/>
      <c r="Q17" s="132"/>
      <c r="R17" s="132"/>
      <c r="S17" s="206"/>
      <c r="T17" s="64" t="s">
        <v>39</v>
      </c>
      <c r="U17" s="64">
        <f>COUNTIF(D6:D25,"수")</f>
        <v>0</v>
      </c>
      <c r="V17" s="65">
        <f>COUNTIF(I6:I25,"수")</f>
        <v>0</v>
      </c>
      <c r="W17" s="64" t="s">
        <v>26</v>
      </c>
      <c r="X17" s="64">
        <f>SUMIF(D6:D25,"수",F6:F25)</f>
        <v>0</v>
      </c>
      <c r="Y17" s="65">
        <f>SUMIF(I6:I25,"수",K6:K25)</f>
        <v>0</v>
      </c>
      <c r="Z17" s="64">
        <f>COUNTIF(AJ6:AJ25,"수국")+COUNTIF(AJ6:AJ25,"수공")</f>
        <v>0</v>
      </c>
      <c r="AA17" s="65">
        <f>COUNTIF(AK6:AK25,"수국")+COUNTIF(AK6:AK25,"수공")</f>
        <v>0</v>
      </c>
      <c r="AB17" s="64" t="s">
        <v>26</v>
      </c>
      <c r="AC17" s="64">
        <f>SUMIF(AJ6:AJ25,"수국",F6:F25)+SUMIF(AJ6:AJ25,"수공",F6:F25)</f>
        <v>0</v>
      </c>
      <c r="AD17" s="65">
        <f>SUMIF(AK6:AK25,"수국",K6:K25)+SUMIF(AK6:AK25,"수공",K6:K25)</f>
        <v>0</v>
      </c>
      <c r="AE17" s="64">
        <f t="shared" si="0"/>
        <v>0</v>
      </c>
      <c r="AF17" s="65">
        <f t="shared" si="0"/>
        <v>0</v>
      </c>
      <c r="AG17" s="64" t="s">
        <v>26</v>
      </c>
      <c r="AH17" s="64">
        <f t="shared" si="1"/>
        <v>0</v>
      </c>
      <c r="AI17" s="65">
        <f t="shared" si="1"/>
        <v>0</v>
      </c>
      <c r="AJ17" s="64" t="str">
        <f t="shared" si="2"/>
        <v/>
      </c>
      <c r="AK17" s="64" t="str">
        <f t="shared" si="3"/>
        <v/>
      </c>
      <c r="AL17" s="66"/>
      <c r="AM17" s="66"/>
    </row>
    <row r="18" spans="1:39" s="67" customFormat="1" ht="24" customHeight="1" x14ac:dyDescent="0.15">
      <c r="A18" s="146">
        <v>13</v>
      </c>
      <c r="B18" s="222" t="s">
        <v>49</v>
      </c>
      <c r="C18" s="136"/>
      <c r="D18" s="133"/>
      <c r="E18" s="135"/>
      <c r="F18" s="135"/>
      <c r="G18" s="224"/>
      <c r="H18" s="232"/>
      <c r="I18" s="233"/>
      <c r="J18" s="227"/>
      <c r="K18" s="227"/>
      <c r="L18" s="128"/>
      <c r="M18" s="128"/>
      <c r="N18" s="425"/>
      <c r="O18" s="425"/>
      <c r="P18" s="132"/>
      <c r="Q18" s="132"/>
      <c r="R18" s="132"/>
      <c r="S18" s="206"/>
      <c r="T18" s="64" t="s">
        <v>35</v>
      </c>
      <c r="U18" s="64">
        <f>COUNTIF(D6:D25,"잡")</f>
        <v>0</v>
      </c>
      <c r="V18" s="65">
        <f>COUNTIF(I6:I25,"잡")</f>
        <v>0</v>
      </c>
      <c r="W18" s="64" t="s">
        <v>26</v>
      </c>
      <c r="X18" s="64">
        <f>SUMIF(D6:D25,"잡",F6:F25)</f>
        <v>0</v>
      </c>
      <c r="Y18" s="65">
        <f>SUMIF(I6:I25,"잡",K6:K25)</f>
        <v>0</v>
      </c>
      <c r="Z18" s="64">
        <f>COUNTIF(AJ6:AJ25,"잡국")+COUNTIF(AJ6:AJ25,"잡공")</f>
        <v>0</v>
      </c>
      <c r="AA18" s="65">
        <f>COUNTIF(AK6:AK25,"잡국")+COUNTIF(AK6:AK25,"잡공")</f>
        <v>0</v>
      </c>
      <c r="AB18" s="64" t="s">
        <v>26</v>
      </c>
      <c r="AC18" s="64">
        <f>SUMIF(AJ6:AJ25,"잡국",F6:F25)+SUMIF(AJ6:AJ25,"잡공",F6:F25)</f>
        <v>0</v>
      </c>
      <c r="AD18" s="65">
        <f>SUMIF(AK6:AK25,"잡국",K6:K25)+SUMIF(AK6:AK25,"잡공",K6:K25)</f>
        <v>0</v>
      </c>
      <c r="AE18" s="64">
        <f t="shared" si="0"/>
        <v>0</v>
      </c>
      <c r="AF18" s="65">
        <f t="shared" si="0"/>
        <v>0</v>
      </c>
      <c r="AG18" s="64" t="s">
        <v>26</v>
      </c>
      <c r="AH18" s="64">
        <f t="shared" si="1"/>
        <v>0</v>
      </c>
      <c r="AI18" s="65">
        <f t="shared" si="1"/>
        <v>0</v>
      </c>
      <c r="AJ18" s="64" t="str">
        <f t="shared" si="2"/>
        <v/>
      </c>
      <c r="AK18" s="64" t="str">
        <f t="shared" si="3"/>
        <v/>
      </c>
      <c r="AL18" s="66"/>
      <c r="AM18" s="66"/>
    </row>
    <row r="19" spans="1:39" s="67" customFormat="1" ht="24" customHeight="1" x14ac:dyDescent="0.15">
      <c r="A19" s="146">
        <v>14</v>
      </c>
      <c r="B19" s="222" t="s">
        <v>49</v>
      </c>
      <c r="C19" s="136"/>
      <c r="D19" s="133"/>
      <c r="E19" s="135"/>
      <c r="F19" s="135"/>
      <c r="G19" s="224"/>
      <c r="H19" s="232"/>
      <c r="I19" s="233"/>
      <c r="J19" s="227"/>
      <c r="K19" s="227"/>
      <c r="L19" s="128"/>
      <c r="M19" s="137"/>
      <c r="N19" s="425"/>
      <c r="O19" s="445"/>
      <c r="P19" s="132"/>
      <c r="Q19" s="132"/>
      <c r="R19" s="132"/>
      <c r="S19" s="206"/>
      <c r="T19" s="64" t="s">
        <v>195</v>
      </c>
      <c r="U19" s="64">
        <f>COUNTIF(D6:D25,"창")</f>
        <v>0</v>
      </c>
      <c r="V19" s="65">
        <f>COUNTIF(I6:I25,"창")</f>
        <v>0</v>
      </c>
      <c r="W19" s="64" t="s">
        <v>26</v>
      </c>
      <c r="X19" s="64">
        <f>SUMIF(D6:D25,"창",F6:F25)</f>
        <v>0</v>
      </c>
      <c r="Y19" s="65">
        <f>SUMIF(I6:I25,"창",K6:K25)</f>
        <v>0</v>
      </c>
      <c r="Z19" s="64">
        <f>COUNTIF(AJ6:AJ25,"창국")+COUNTIF(AJ6:AJ25,"창공")</f>
        <v>0</v>
      </c>
      <c r="AA19" s="65">
        <f>COUNTIF(AK6:AK25,"창국")+COUNTIF(AK6:AK25,"창공")</f>
        <v>0</v>
      </c>
      <c r="AB19" s="64" t="s">
        <v>26</v>
      </c>
      <c r="AC19" s="64">
        <f>SUMIF(AJ6:AJ25,"창국",F6:F25)+SUMIF(AJ6:AJ25,"창공",F6:F25)</f>
        <v>0</v>
      </c>
      <c r="AD19" s="65">
        <f>SUMIF(AK6:AK25,"창국",K6:K25)+SUMIF(AK6:AK25,"창공",K6:K25)</f>
        <v>0</v>
      </c>
      <c r="AE19" s="64">
        <f t="shared" si="0"/>
        <v>0</v>
      </c>
      <c r="AF19" s="65">
        <f t="shared" si="0"/>
        <v>0</v>
      </c>
      <c r="AG19" s="64" t="s">
        <v>26</v>
      </c>
      <c r="AH19" s="64">
        <f t="shared" si="1"/>
        <v>0</v>
      </c>
      <c r="AI19" s="65">
        <f t="shared" si="1"/>
        <v>0</v>
      </c>
      <c r="AJ19" s="64" t="str">
        <f t="shared" si="2"/>
        <v/>
      </c>
      <c r="AK19" s="64" t="str">
        <f t="shared" si="3"/>
        <v/>
      </c>
      <c r="AL19" s="66"/>
      <c r="AM19" s="66"/>
    </row>
    <row r="20" spans="1:39" s="67" customFormat="1" ht="24" customHeight="1" x14ac:dyDescent="0.15">
      <c r="A20" s="146">
        <v>15</v>
      </c>
      <c r="B20" s="222" t="s">
        <v>49</v>
      </c>
      <c r="C20" s="222"/>
      <c r="D20" s="222"/>
      <c r="E20" s="135"/>
      <c r="F20" s="135"/>
      <c r="G20" s="224"/>
      <c r="H20" s="226"/>
      <c r="I20" s="226"/>
      <c r="J20" s="227"/>
      <c r="K20" s="227"/>
      <c r="L20" s="128"/>
      <c r="M20" s="137"/>
      <c r="N20" s="425"/>
      <c r="O20" s="445"/>
      <c r="P20" s="132"/>
      <c r="Q20" s="123"/>
      <c r="R20" s="123"/>
      <c r="S20" s="206"/>
      <c r="T20" s="64" t="s">
        <v>194</v>
      </c>
      <c r="U20" s="64">
        <f>COUNTIF(D6:D25,"장")</f>
        <v>0</v>
      </c>
      <c r="V20" s="65">
        <f>COUNTIF(I6:I25,"장")</f>
        <v>0</v>
      </c>
      <c r="W20" s="64" t="s">
        <v>26</v>
      </c>
      <c r="X20" s="64">
        <f>SUMIF(D6:D25,"장",F6:F25)</f>
        <v>0</v>
      </c>
      <c r="Y20" s="65">
        <f>SUMIF(I6:I25,"장",K6:K25)</f>
        <v>0</v>
      </c>
      <c r="Z20" s="64">
        <f>COUNTIF(AJ6:AJ25,"장국")+COUNTIF(AJ6:AJ25,"장장")</f>
        <v>0</v>
      </c>
      <c r="AA20" s="65">
        <f>COUNTIF(AK6:AK25,"장국")+COUNTIF(AK6:AK25,"장장")</f>
        <v>0</v>
      </c>
      <c r="AB20" s="64" t="s">
        <v>26</v>
      </c>
      <c r="AC20" s="64">
        <f>SUMIF(AJ6:AJ25,"장국",F6:F25)+SUMIF(AJ6:AJ25,"장장",F6:F25)</f>
        <v>0</v>
      </c>
      <c r="AD20" s="65">
        <f>SUMIF(AK6:AK25,"장국",K6:K25)+SUMIF(AK6:AK25,"장장",K6:K25)</f>
        <v>0</v>
      </c>
      <c r="AE20" s="64">
        <f t="shared" si="0"/>
        <v>0</v>
      </c>
      <c r="AF20" s="65">
        <f t="shared" si="0"/>
        <v>0</v>
      </c>
      <c r="AG20" s="64" t="s">
        <v>26</v>
      </c>
      <c r="AH20" s="64">
        <f t="shared" si="1"/>
        <v>0</v>
      </c>
      <c r="AI20" s="65">
        <f t="shared" si="1"/>
        <v>0</v>
      </c>
      <c r="AJ20" s="64" t="str">
        <f t="shared" si="2"/>
        <v/>
      </c>
      <c r="AK20" s="64" t="str">
        <f t="shared" si="3"/>
        <v/>
      </c>
      <c r="AL20" s="66"/>
      <c r="AM20" s="66"/>
    </row>
    <row r="21" spans="1:39" s="67" customFormat="1" ht="24" customHeight="1" x14ac:dyDescent="0.15">
      <c r="A21" s="146">
        <v>16</v>
      </c>
      <c r="B21" s="222" t="s">
        <v>49</v>
      </c>
      <c r="C21" s="229"/>
      <c r="D21" s="235"/>
      <c r="E21" s="230"/>
      <c r="F21" s="230"/>
      <c r="G21" s="224"/>
      <c r="H21" s="228"/>
      <c r="I21" s="236"/>
      <c r="J21" s="231"/>
      <c r="K21" s="231"/>
      <c r="L21" s="128"/>
      <c r="M21" s="137"/>
      <c r="N21" s="425"/>
      <c r="O21" s="445"/>
      <c r="P21" s="123"/>
      <c r="Q21" s="132"/>
      <c r="R21" s="132"/>
      <c r="S21" s="206"/>
      <c r="T21" s="70" t="s">
        <v>193</v>
      </c>
      <c r="U21" s="64">
        <f>COUNTIF(D6:D25,"학")</f>
        <v>0</v>
      </c>
      <c r="V21" s="65">
        <f>COUNTIF(I6:I25,"학")</f>
        <v>0</v>
      </c>
      <c r="W21" s="64" t="s">
        <v>26</v>
      </c>
      <c r="X21" s="64">
        <f>SUMIF(D6:D25,"학",F6:F25)</f>
        <v>0</v>
      </c>
      <c r="Y21" s="65">
        <f>SUMIF(I6:I25,"학",K6:K25)</f>
        <v>0</v>
      </c>
      <c r="Z21" s="64">
        <f>COUNTIF(AJ6:AJ25,"학국")+COUNTIF(AJ6:AJ25,"학공")</f>
        <v>0</v>
      </c>
      <c r="AA21" s="65">
        <f>COUNTIF(AK6:AK25,"학국")+COUNTIF(AK6:AK25,"학공")</f>
        <v>0</v>
      </c>
      <c r="AB21" s="64" t="s">
        <v>26</v>
      </c>
      <c r="AC21" s="64">
        <f>SUMIF(AJ6:AJ25,"학국",F6:F25)+SUMIF(AJ6:AJ25,"학공",F6:F25)</f>
        <v>0</v>
      </c>
      <c r="AD21" s="65">
        <f>SUMIF(AK6:AK25,"학국",K6:K25)+SUMIF(AK6:AK25,"학공",K6:K25)</f>
        <v>0</v>
      </c>
      <c r="AE21" s="64">
        <f t="shared" si="0"/>
        <v>0</v>
      </c>
      <c r="AF21" s="65">
        <f t="shared" si="0"/>
        <v>0</v>
      </c>
      <c r="AG21" s="64" t="s">
        <v>26</v>
      </c>
      <c r="AH21" s="64">
        <f t="shared" si="1"/>
        <v>0</v>
      </c>
      <c r="AI21" s="65">
        <f t="shared" si="1"/>
        <v>0</v>
      </c>
      <c r="AJ21" s="64" t="str">
        <f t="shared" si="2"/>
        <v/>
      </c>
      <c r="AK21" s="64" t="str">
        <f t="shared" si="3"/>
        <v/>
      </c>
      <c r="AL21" s="66"/>
      <c r="AM21" s="66"/>
    </row>
    <row r="22" spans="1:39" s="67" customFormat="1" ht="24" customHeight="1" x14ac:dyDescent="0.15">
      <c r="A22" s="146">
        <v>17</v>
      </c>
      <c r="B22" s="222" t="s">
        <v>49</v>
      </c>
      <c r="C22" s="222"/>
      <c r="D22" s="222"/>
      <c r="E22" s="135"/>
      <c r="F22" s="135"/>
      <c r="G22" s="224"/>
      <c r="H22" s="226"/>
      <c r="I22" s="226"/>
      <c r="J22" s="227"/>
      <c r="K22" s="227"/>
      <c r="L22" s="128"/>
      <c r="M22" s="137"/>
      <c r="N22" s="425"/>
      <c r="O22" s="445"/>
      <c r="P22" s="132"/>
      <c r="Q22" s="123"/>
      <c r="R22" s="123"/>
      <c r="S22" s="206"/>
      <c r="T22" s="70" t="s">
        <v>79</v>
      </c>
      <c r="U22" s="64">
        <f>COUNTIF(D6:D25,"창")</f>
        <v>0</v>
      </c>
      <c r="V22" s="65">
        <f>COUNTIF(I6:I25,"창")</f>
        <v>0</v>
      </c>
      <c r="W22" s="64" t="s">
        <v>26</v>
      </c>
      <c r="X22" s="64">
        <f>SUMIF(D6:D25,"창",F6:F25)</f>
        <v>0</v>
      </c>
      <c r="Y22" s="65">
        <f>SUMIF(I6:I25,"창",K6:K25)</f>
        <v>0</v>
      </c>
      <c r="Z22" s="64">
        <f>COUNTIF(AJ6:AJ25,"창국")+COUNTIF(AJ6:AJ25,"창공")</f>
        <v>0</v>
      </c>
      <c r="AA22" s="65">
        <f>COUNTIF(AK6:AK25,"창국")+COUNTIF(AK6:AK25,"창공")</f>
        <v>0</v>
      </c>
      <c r="AB22" s="64" t="s">
        <v>26</v>
      </c>
      <c r="AC22" s="64">
        <f>SUMIF(AJ6:AJ25,"창국",F6:F25)+SUMIF(AJ6:AJ25,"창공",F6:F25)</f>
        <v>0</v>
      </c>
      <c r="AD22" s="65">
        <f>SUMIF(AK6:AK25,"창국",K6:K25)+SUMIF(AK6:AK25,"창공",K6:K25)</f>
        <v>0</v>
      </c>
      <c r="AE22" s="64">
        <f t="shared" si="0"/>
        <v>0</v>
      </c>
      <c r="AF22" s="65">
        <f t="shared" si="0"/>
        <v>0</v>
      </c>
      <c r="AG22" s="64" t="s">
        <v>26</v>
      </c>
      <c r="AH22" s="64">
        <f t="shared" si="1"/>
        <v>0</v>
      </c>
      <c r="AI22" s="65">
        <f t="shared" si="1"/>
        <v>0</v>
      </c>
      <c r="AJ22" s="64" t="str">
        <f t="shared" si="2"/>
        <v/>
      </c>
      <c r="AK22" s="64" t="str">
        <f t="shared" si="3"/>
        <v/>
      </c>
      <c r="AL22" s="66"/>
      <c r="AM22" s="66"/>
    </row>
    <row r="23" spans="1:39" s="67" customFormat="1" ht="24" customHeight="1" x14ac:dyDescent="0.15">
      <c r="A23" s="146">
        <v>18</v>
      </c>
      <c r="B23" s="222" t="s">
        <v>49</v>
      </c>
      <c r="C23" s="229"/>
      <c r="D23" s="235"/>
      <c r="E23" s="230"/>
      <c r="F23" s="230"/>
      <c r="G23" s="224"/>
      <c r="H23" s="466"/>
      <c r="I23" s="236"/>
      <c r="J23" s="231"/>
      <c r="K23" s="231"/>
      <c r="L23" s="128"/>
      <c r="M23" s="128"/>
      <c r="N23" s="425"/>
      <c r="O23" s="425"/>
      <c r="P23" s="123"/>
      <c r="Q23" s="123"/>
      <c r="R23" s="123"/>
      <c r="S23" s="206"/>
      <c r="T23" s="70"/>
      <c r="U23" s="70"/>
      <c r="V23" s="71"/>
      <c r="W23" s="70"/>
      <c r="X23" s="70"/>
      <c r="Y23" s="71"/>
      <c r="Z23" s="64"/>
      <c r="AA23" s="65"/>
      <c r="AB23" s="70"/>
      <c r="AC23" s="64"/>
      <c r="AD23" s="65"/>
      <c r="AE23" s="70"/>
      <c r="AF23" s="71"/>
      <c r="AG23" s="70"/>
      <c r="AH23" s="70"/>
      <c r="AI23" s="71"/>
      <c r="AJ23" s="64" t="str">
        <f t="shared" si="2"/>
        <v/>
      </c>
      <c r="AK23" s="64" t="str">
        <f t="shared" si="3"/>
        <v/>
      </c>
      <c r="AL23" s="66"/>
      <c r="AM23" s="66"/>
    </row>
    <row r="24" spans="1:39" s="67" customFormat="1" ht="24" customHeight="1" x14ac:dyDescent="0.15">
      <c r="A24" s="146">
        <v>19</v>
      </c>
      <c r="B24" s="222" t="s">
        <v>49</v>
      </c>
      <c r="C24" s="229"/>
      <c r="D24" s="235"/>
      <c r="E24" s="230"/>
      <c r="F24" s="230"/>
      <c r="G24" s="224"/>
      <c r="H24" s="228"/>
      <c r="I24" s="236"/>
      <c r="J24" s="231"/>
      <c r="K24" s="231"/>
      <c r="L24" s="128"/>
      <c r="M24" s="137"/>
      <c r="N24" s="425"/>
      <c r="O24" s="445"/>
      <c r="P24" s="123"/>
      <c r="Q24" s="132"/>
      <c r="R24" s="132"/>
      <c r="S24" s="206"/>
      <c r="T24" s="70"/>
      <c r="U24" s="70"/>
      <c r="V24" s="71"/>
      <c r="W24" s="70"/>
      <c r="X24" s="70"/>
      <c r="Y24" s="71"/>
      <c r="Z24" s="64"/>
      <c r="AA24" s="65"/>
      <c r="AB24" s="70"/>
      <c r="AC24" s="64"/>
      <c r="AD24" s="65"/>
      <c r="AE24" s="70"/>
      <c r="AF24" s="71"/>
      <c r="AG24" s="70"/>
      <c r="AH24" s="70"/>
      <c r="AI24" s="71"/>
      <c r="AJ24" s="64" t="str">
        <f t="shared" si="2"/>
        <v/>
      </c>
      <c r="AK24" s="64" t="str">
        <f t="shared" si="3"/>
        <v/>
      </c>
      <c r="AL24" s="66"/>
      <c r="AM24" s="66"/>
    </row>
    <row r="25" spans="1:39" s="67" customFormat="1" ht="24" customHeight="1" x14ac:dyDescent="0.15">
      <c r="A25" s="146">
        <v>20</v>
      </c>
      <c r="B25" s="222" t="s">
        <v>49</v>
      </c>
      <c r="C25" s="223"/>
      <c r="D25" s="222"/>
      <c r="E25" s="135"/>
      <c r="F25" s="135"/>
      <c r="G25" s="224"/>
      <c r="H25" s="225"/>
      <c r="I25" s="226"/>
      <c r="J25" s="227"/>
      <c r="K25" s="227"/>
      <c r="L25" s="128"/>
      <c r="M25" s="128"/>
      <c r="N25" s="425"/>
      <c r="O25" s="425"/>
      <c r="P25" s="132"/>
      <c r="Q25" s="123"/>
      <c r="R25" s="123"/>
      <c r="S25" s="206"/>
      <c r="T25" s="72" t="s">
        <v>37</v>
      </c>
      <c r="U25" s="72">
        <f>COUNTIF(D6:D25,"철")</f>
        <v>0</v>
      </c>
      <c r="V25" s="73">
        <f>COUNTIF(I6:I25,"철")</f>
        <v>0</v>
      </c>
      <c r="W25" s="72" t="s">
        <v>26</v>
      </c>
      <c r="X25" s="72">
        <f>SUMIF(D6:D25,"철",F6:F25)</f>
        <v>0</v>
      </c>
      <c r="Y25" s="73">
        <f>SUMIF(I6:I25,"철",K6:K25)</f>
        <v>0</v>
      </c>
      <c r="Z25" s="64">
        <f>COUNTIF(AJ6:AJ25,"철국")+COUNTIF(AJ6:AJ25,"철공")</f>
        <v>0</v>
      </c>
      <c r="AA25" s="65">
        <f>COUNTIF(AK6:AK25,"철국")+COUNTIF(AK6:AK25,"철공")</f>
        <v>0</v>
      </c>
      <c r="AB25" s="72" t="s">
        <v>26</v>
      </c>
      <c r="AC25" s="64">
        <f>SUMIF(AJ6:AJ25,"철국",F6:F25)+SUMIF(AJ6:AJ25,"철공",F6:F25)</f>
        <v>0</v>
      </c>
      <c r="AD25" s="65">
        <f>SUMIF(AK6:AK25,"철국",K6:K25)+SUMIF(AK6:AK25,"철공",K6:K25)</f>
        <v>0</v>
      </c>
      <c r="AE25" s="72"/>
      <c r="AF25" s="73"/>
      <c r="AG25" s="72"/>
      <c r="AH25" s="72"/>
      <c r="AI25" s="73"/>
      <c r="AJ25" s="64" t="str">
        <f t="shared" si="2"/>
        <v/>
      </c>
      <c r="AK25" s="64" t="str">
        <f t="shared" si="3"/>
        <v/>
      </c>
      <c r="AL25" s="66"/>
      <c r="AM25" s="66"/>
    </row>
    <row r="26" spans="1:39" s="57" customFormat="1" ht="24" customHeight="1" thickBot="1" x14ac:dyDescent="0.2">
      <c r="A26" s="147" t="s">
        <v>48</v>
      </c>
      <c r="B26" s="148"/>
      <c r="C26" s="148"/>
      <c r="D26" s="148"/>
      <c r="E26" s="148"/>
      <c r="F26" s="149">
        <f>SUM(F6:F25)</f>
        <v>0</v>
      </c>
      <c r="G26" s="238"/>
      <c r="H26" s="238"/>
      <c r="I26" s="239"/>
      <c r="J26" s="238"/>
      <c r="K26" s="240">
        <f>SUM(K6:K25)</f>
        <v>0</v>
      </c>
      <c r="L26" s="150"/>
      <c r="M26" s="150"/>
      <c r="N26" s="432"/>
      <c r="O26" s="432"/>
      <c r="P26" s="150"/>
      <c r="Q26" s="150"/>
      <c r="R26" s="150"/>
      <c r="S26" s="151"/>
      <c r="T26" s="62" t="s">
        <v>24</v>
      </c>
      <c r="U26" s="63">
        <f t="shared" ref="U26:AA26" si="4">SUM(U6:U25)</f>
        <v>0</v>
      </c>
      <c r="V26" s="63">
        <f t="shared" si="4"/>
        <v>0</v>
      </c>
      <c r="W26" s="63">
        <f t="shared" si="4"/>
        <v>0</v>
      </c>
      <c r="X26" s="63">
        <f t="shared" si="4"/>
        <v>0</v>
      </c>
      <c r="Y26" s="63">
        <f t="shared" si="4"/>
        <v>0</v>
      </c>
      <c r="Z26" s="63">
        <f t="shared" si="4"/>
        <v>0</v>
      </c>
      <c r="AA26" s="63">
        <f t="shared" si="4"/>
        <v>0</v>
      </c>
      <c r="AB26" s="63" t="s">
        <v>26</v>
      </c>
      <c r="AC26" s="63">
        <f>SUM(AC6:AC25)</f>
        <v>0</v>
      </c>
      <c r="AD26" s="63">
        <f>SUM(AD6:AD25)</f>
        <v>0</v>
      </c>
      <c r="AE26" s="63">
        <f>SUM(AE6:AE25)</f>
        <v>0</v>
      </c>
      <c r="AF26" s="63">
        <f>SUM(AF6:AF25)</f>
        <v>0</v>
      </c>
      <c r="AG26" s="63" t="s">
        <v>26</v>
      </c>
      <c r="AH26" s="63">
        <f>SUM(AH6:AH25)</f>
        <v>0</v>
      </c>
      <c r="AI26" s="63">
        <f>SUM(AI6:AI25)</f>
        <v>0</v>
      </c>
      <c r="AJ26" s="63"/>
      <c r="AK26" s="64" t="str">
        <f t="shared" si="3"/>
        <v/>
      </c>
    </row>
    <row r="27" spans="1:39" s="67" customFormat="1" ht="24" customHeight="1" x14ac:dyDescent="0.15">
      <c r="A27" s="139">
        <v>21</v>
      </c>
      <c r="B27" s="215"/>
      <c r="C27" s="241"/>
      <c r="D27" s="242"/>
      <c r="E27" s="243"/>
      <c r="F27" s="243"/>
      <c r="G27" s="244"/>
      <c r="H27" s="245"/>
      <c r="I27" s="246"/>
      <c r="J27" s="247"/>
      <c r="K27" s="247"/>
      <c r="L27" s="220"/>
      <c r="M27" s="474"/>
      <c r="N27" s="442"/>
      <c r="O27" s="473"/>
      <c r="P27" s="248"/>
      <c r="Q27" s="248"/>
      <c r="R27" s="248"/>
      <c r="S27" s="249"/>
      <c r="T27" s="64" t="s">
        <v>27</v>
      </c>
      <c r="U27" s="64">
        <f>COUNTIF(D27:D46,"전")</f>
        <v>0</v>
      </c>
      <c r="V27" s="65">
        <f>COUNTIF(I27:I46,"전")</f>
        <v>0</v>
      </c>
      <c r="W27" s="64" t="s">
        <v>26</v>
      </c>
      <c r="X27" s="64">
        <f>SUMIF(D27:D46,"전",F27:F46)</f>
        <v>0</v>
      </c>
      <c r="Y27" s="65">
        <f>SUMIF(I27:I46,"전",K27:K46)</f>
        <v>0</v>
      </c>
      <c r="Z27" s="64">
        <f>COUNTIF(AJ27:AJ46,"전국")+COUNTIF(AJ27:AJ46,"전공")</f>
        <v>0</v>
      </c>
      <c r="AA27" s="65">
        <f>COUNTIF(AK27:AK46,"전국")+COUNTIF(AK27:AK46,"전공")</f>
        <v>0</v>
      </c>
      <c r="AB27" s="64" t="s">
        <v>26</v>
      </c>
      <c r="AC27" s="64">
        <f>SUMIF(AJ27:AJ46,"전국",F27:F46)+SUMIF(AJ27:AJ46,"전공",F27:F46)</f>
        <v>0</v>
      </c>
      <c r="AD27" s="65">
        <f>SUMIF(AK27:AK46,"전국",K27:K46)+SUMIF(AK27:AK46,"전공",K27:K46)</f>
        <v>0</v>
      </c>
      <c r="AE27" s="64">
        <f t="shared" ref="AE27:AF43" si="5">U27-Z27</f>
        <v>0</v>
      </c>
      <c r="AF27" s="65">
        <f t="shared" si="5"/>
        <v>0</v>
      </c>
      <c r="AG27" s="64" t="s">
        <v>26</v>
      </c>
      <c r="AH27" s="64">
        <f t="shared" ref="AH27:AI43" si="6">X27-AC27</f>
        <v>0</v>
      </c>
      <c r="AI27" s="65">
        <f t="shared" si="6"/>
        <v>0</v>
      </c>
      <c r="AJ27" s="64" t="str">
        <f t="shared" ref="AJ27:AJ46" si="7">CONCATENATE(D27,L27)</f>
        <v/>
      </c>
      <c r="AK27" s="64" t="str">
        <f t="shared" si="3"/>
        <v/>
      </c>
    </row>
    <row r="28" spans="1:39" s="67" customFormat="1" ht="24" customHeight="1" x14ac:dyDescent="0.15">
      <c r="A28" s="146">
        <v>22</v>
      </c>
      <c r="B28" s="222" t="s">
        <v>49</v>
      </c>
      <c r="C28" s="229"/>
      <c r="D28" s="250"/>
      <c r="E28" s="230"/>
      <c r="F28" s="230"/>
      <c r="G28" s="224"/>
      <c r="H28" s="228"/>
      <c r="I28" s="251"/>
      <c r="J28" s="231"/>
      <c r="K28" s="231"/>
      <c r="L28" s="252"/>
      <c r="M28" s="237"/>
      <c r="N28" s="437"/>
      <c r="O28" s="431"/>
      <c r="P28" s="102"/>
      <c r="Q28" s="132"/>
      <c r="R28" s="102"/>
      <c r="S28" s="253"/>
      <c r="T28" s="64" t="s">
        <v>28</v>
      </c>
      <c r="U28" s="64">
        <f>COUNTIF(D27:D46,"답")</f>
        <v>0</v>
      </c>
      <c r="V28" s="65">
        <f>COUNTIF(I27:I46,"답")</f>
        <v>0</v>
      </c>
      <c r="W28" s="64" t="s">
        <v>26</v>
      </c>
      <c r="X28" s="64">
        <f>SUMIF(D27:D46,"답",F27:F46)</f>
        <v>0</v>
      </c>
      <c r="Y28" s="65">
        <f>SUMIF(I27:I46,"답",K27:K46)</f>
        <v>0</v>
      </c>
      <c r="Z28" s="64">
        <f>COUNTIF(AJ27:AJ46,"답국")+COUNTIF(AJ27:AJ46,"답공")</f>
        <v>0</v>
      </c>
      <c r="AA28" s="65">
        <f>COUNTIF(AK27:AK46,"답국")+COUNTIF(AK27:AK46,"답공")</f>
        <v>0</v>
      </c>
      <c r="AB28" s="64" t="s">
        <v>26</v>
      </c>
      <c r="AC28" s="64">
        <f>SUMIF(AJ27:AJ46,"답국",F27:F46)+SUMIF(AJ27:AJ46,"답공",F27:F46)</f>
        <v>0</v>
      </c>
      <c r="AD28" s="65">
        <f>SUMIF(AK27:AK46,"답국",K27:K46)+SUMIF(AK27:AK46,"답공",K27:K46)</f>
        <v>0</v>
      </c>
      <c r="AE28" s="64">
        <f t="shared" si="5"/>
        <v>0</v>
      </c>
      <c r="AF28" s="65">
        <f t="shared" si="5"/>
        <v>0</v>
      </c>
      <c r="AG28" s="64" t="s">
        <v>26</v>
      </c>
      <c r="AH28" s="64">
        <f t="shared" si="6"/>
        <v>0</v>
      </c>
      <c r="AI28" s="65">
        <f t="shared" si="6"/>
        <v>0</v>
      </c>
      <c r="AJ28" s="64" t="str">
        <f t="shared" si="7"/>
        <v/>
      </c>
      <c r="AK28" s="64" t="str">
        <f t="shared" si="3"/>
        <v/>
      </c>
    </row>
    <row r="29" spans="1:39" s="67" customFormat="1" ht="24" customHeight="1" x14ac:dyDescent="0.15">
      <c r="A29" s="254">
        <v>23</v>
      </c>
      <c r="B29" s="222" t="s">
        <v>49</v>
      </c>
      <c r="C29" s="222"/>
      <c r="D29" s="222"/>
      <c r="E29" s="135"/>
      <c r="F29" s="135"/>
      <c r="G29" s="224"/>
      <c r="H29" s="226"/>
      <c r="I29" s="226"/>
      <c r="J29" s="227"/>
      <c r="K29" s="227"/>
      <c r="L29" s="252"/>
      <c r="M29" s="237"/>
      <c r="N29" s="437"/>
      <c r="O29" s="431"/>
      <c r="P29" s="255"/>
      <c r="Q29" s="255"/>
      <c r="R29" s="123"/>
      <c r="S29" s="253"/>
      <c r="T29" s="64" t="s">
        <v>44</v>
      </c>
      <c r="U29" s="64">
        <f>COUNTIF(D27:D46,"임")</f>
        <v>0</v>
      </c>
      <c r="V29" s="65">
        <f>COUNTIF(I27:I46,"임")</f>
        <v>0</v>
      </c>
      <c r="W29" s="64" t="s">
        <v>26</v>
      </c>
      <c r="X29" s="64">
        <f>SUMIF(D27:D46,"임",F27:F46)</f>
        <v>0</v>
      </c>
      <c r="Y29" s="65">
        <f>SUMIF(I27:I46,"임",K27:K46)</f>
        <v>0</v>
      </c>
      <c r="Z29" s="64">
        <f>COUNTIF(AJ27:AJ46,"임국")+COUNTIF(AJ27:AJ46,"임공")</f>
        <v>0</v>
      </c>
      <c r="AA29" s="65">
        <f>COUNTIF(AK27:AK46,"임국")+COUNTIF(AK27:AK46,"임공")</f>
        <v>0</v>
      </c>
      <c r="AB29" s="64" t="s">
        <v>26</v>
      </c>
      <c r="AC29" s="64">
        <f>SUMIF(AJ27:AJ46,"임국",F27:F46)+SUMIF(AJ27:AJ46,"임공",F27:F46)</f>
        <v>0</v>
      </c>
      <c r="AD29" s="65">
        <f>SUMIF(AK27:AK46,"임국",K27:K46)+SUMIF(AK27:AK46,"임공",K27:K46)</f>
        <v>0</v>
      </c>
      <c r="AE29" s="64">
        <f t="shared" si="5"/>
        <v>0</v>
      </c>
      <c r="AF29" s="65">
        <f t="shared" si="5"/>
        <v>0</v>
      </c>
      <c r="AG29" s="64" t="s">
        <v>26</v>
      </c>
      <c r="AH29" s="64">
        <f t="shared" si="6"/>
        <v>0</v>
      </c>
      <c r="AI29" s="65">
        <f t="shared" si="6"/>
        <v>0</v>
      </c>
      <c r="AJ29" s="64" t="str">
        <f t="shared" si="7"/>
        <v/>
      </c>
      <c r="AK29" s="64" t="str">
        <f t="shared" si="3"/>
        <v/>
      </c>
      <c r="AL29" s="66"/>
      <c r="AM29" s="66"/>
    </row>
    <row r="30" spans="1:39" s="67" customFormat="1" ht="24" customHeight="1" x14ac:dyDescent="0.15">
      <c r="A30" s="254">
        <v>24</v>
      </c>
      <c r="B30" s="222" t="s">
        <v>49</v>
      </c>
      <c r="C30" s="229"/>
      <c r="D30" s="235"/>
      <c r="E30" s="230"/>
      <c r="F30" s="230"/>
      <c r="G30" s="224"/>
      <c r="H30" s="228"/>
      <c r="I30" s="236"/>
      <c r="J30" s="231"/>
      <c r="K30" s="231"/>
      <c r="L30" s="252"/>
      <c r="M30" s="237"/>
      <c r="N30" s="437"/>
      <c r="O30" s="431"/>
      <c r="P30" s="256"/>
      <c r="Q30" s="256"/>
      <c r="R30" s="256"/>
      <c r="S30" s="253"/>
      <c r="T30" s="64" t="s">
        <v>45</v>
      </c>
      <c r="U30" s="64">
        <f>COUNTIF(D27:D46,"대")</f>
        <v>0</v>
      </c>
      <c r="V30" s="65">
        <f>COUNTIF(I27:I46,"대")</f>
        <v>0</v>
      </c>
      <c r="W30" s="64" t="s">
        <v>26</v>
      </c>
      <c r="X30" s="64">
        <f>SUMIF(D27:D46,"대",F27:F46)</f>
        <v>0</v>
      </c>
      <c r="Y30" s="65">
        <f>SUMIF(I27:I46,"대",K27:K46)</f>
        <v>0</v>
      </c>
      <c r="Z30" s="64">
        <f>COUNTIF(AJ27:AJ46,"대국")+COUNTIF(AJ27:AJ46,"대공")</f>
        <v>0</v>
      </c>
      <c r="AA30" s="65">
        <f>COUNTIF(AK27:AK46,"대국")+COUNTIF(AK27:AK46,"대공")</f>
        <v>0</v>
      </c>
      <c r="AB30" s="64" t="s">
        <v>26</v>
      </c>
      <c r="AC30" s="64">
        <f>SUMIF(AJ27:AJ46,"대국",F27:F46)+SUMIF(AJ27:AJ46,"대공",F27:F46)</f>
        <v>0</v>
      </c>
      <c r="AD30" s="65">
        <f>SUMIF(AK27:AK46,"대국",K27:K46)+SUMIF(AK27:AK46,"대공",K27:K46)</f>
        <v>0</v>
      </c>
      <c r="AE30" s="64">
        <f t="shared" si="5"/>
        <v>0</v>
      </c>
      <c r="AF30" s="65">
        <f t="shared" si="5"/>
        <v>0</v>
      </c>
      <c r="AG30" s="64" t="s">
        <v>26</v>
      </c>
      <c r="AH30" s="64">
        <f t="shared" si="6"/>
        <v>0</v>
      </c>
      <c r="AI30" s="65">
        <f t="shared" si="6"/>
        <v>0</v>
      </c>
      <c r="AJ30" s="64" t="str">
        <f t="shared" si="7"/>
        <v/>
      </c>
      <c r="AK30" s="64" t="str">
        <f t="shared" si="3"/>
        <v/>
      </c>
      <c r="AL30" s="66"/>
      <c r="AM30" s="66"/>
    </row>
    <row r="31" spans="1:39" s="67" customFormat="1" ht="24" customHeight="1" x14ac:dyDescent="0.15">
      <c r="A31" s="254">
        <v>25</v>
      </c>
      <c r="B31" s="222" t="s">
        <v>49</v>
      </c>
      <c r="C31" s="229"/>
      <c r="D31" s="235"/>
      <c r="E31" s="230"/>
      <c r="F31" s="230"/>
      <c r="G31" s="224"/>
      <c r="H31" s="228"/>
      <c r="I31" s="236"/>
      <c r="J31" s="231"/>
      <c r="K31" s="231"/>
      <c r="L31" s="128"/>
      <c r="M31" s="467"/>
      <c r="N31" s="445"/>
      <c r="O31" s="461"/>
      <c r="P31" s="102"/>
      <c r="Q31" s="132"/>
      <c r="R31" s="102"/>
      <c r="S31" s="206"/>
      <c r="T31" s="64" t="s">
        <v>31</v>
      </c>
      <c r="U31" s="64">
        <f>COUNTIF(D27:D46,"도")</f>
        <v>0</v>
      </c>
      <c r="V31" s="65">
        <f>COUNTIF(I27:I46,"도")</f>
        <v>0</v>
      </c>
      <c r="W31" s="64" t="s">
        <v>26</v>
      </c>
      <c r="X31" s="64">
        <f>SUMIF(D27:D46,"도",F27:F46)</f>
        <v>0</v>
      </c>
      <c r="Y31" s="65">
        <f>SUMIF(I27:I46,"도",K27:K46)</f>
        <v>0</v>
      </c>
      <c r="Z31" s="64">
        <f>COUNTIF(AJ27:AJ46,"도국")+COUNTIF(AJ27:AJ46,"도공")</f>
        <v>0</v>
      </c>
      <c r="AA31" s="65">
        <f>COUNTIF(AK27:AK46,"도국")+COUNTIF(AK27:AK46,"도공")</f>
        <v>0</v>
      </c>
      <c r="AB31" s="64" t="s">
        <v>26</v>
      </c>
      <c r="AC31" s="64">
        <f>SUMIF(AJ27:AJ46,"도국",F27:F46)+SUMIF(AJ27:AJ46,"도공",F27:F46)</f>
        <v>0</v>
      </c>
      <c r="AD31" s="65">
        <f>SUMIF(AK27:AK46,"도국",K27:K46)+SUMIF(AK27:AK46,"도공",K27:K46)</f>
        <v>0</v>
      </c>
      <c r="AE31" s="64">
        <f t="shared" si="5"/>
        <v>0</v>
      </c>
      <c r="AF31" s="65">
        <f t="shared" si="5"/>
        <v>0</v>
      </c>
      <c r="AG31" s="64" t="s">
        <v>26</v>
      </c>
      <c r="AH31" s="64">
        <f t="shared" si="6"/>
        <v>0</v>
      </c>
      <c r="AI31" s="65">
        <f t="shared" si="6"/>
        <v>0</v>
      </c>
      <c r="AJ31" s="64" t="str">
        <f t="shared" si="7"/>
        <v/>
      </c>
      <c r="AK31" s="64" t="str">
        <f t="shared" si="3"/>
        <v/>
      </c>
      <c r="AL31" s="66"/>
      <c r="AM31" s="66"/>
    </row>
    <row r="32" spans="1:39" s="67" customFormat="1" ht="24" customHeight="1" x14ac:dyDescent="0.15">
      <c r="A32" s="254">
        <v>26</v>
      </c>
      <c r="B32" s="222" t="s">
        <v>49</v>
      </c>
      <c r="C32" s="229"/>
      <c r="D32" s="235"/>
      <c r="E32" s="230"/>
      <c r="F32" s="230"/>
      <c r="G32" s="224"/>
      <c r="H32" s="228"/>
      <c r="I32" s="236"/>
      <c r="J32" s="231"/>
      <c r="K32" s="231"/>
      <c r="L32" s="128"/>
      <c r="M32" s="467"/>
      <c r="N32" s="445"/>
      <c r="O32" s="461"/>
      <c r="P32" s="255"/>
      <c r="Q32" s="255"/>
      <c r="R32" s="123"/>
      <c r="S32" s="253"/>
      <c r="T32" s="64" t="s">
        <v>32</v>
      </c>
      <c r="U32" s="68">
        <f>COUNTIF(D27:D46,"천")</f>
        <v>0</v>
      </c>
      <c r="V32" s="69">
        <f>COUNTIF(I27:I46,"천")</f>
        <v>0</v>
      </c>
      <c r="W32" s="64" t="s">
        <v>26</v>
      </c>
      <c r="X32" s="64">
        <f>SUMIF(D27:D46,"천",F27:F46)</f>
        <v>0</v>
      </c>
      <c r="Y32" s="65">
        <f>SUMIF(I27:I46,"천",K27:K46)</f>
        <v>0</v>
      </c>
      <c r="Z32" s="64">
        <f>COUNTIF(AJ27:AJ46,"천국")+COUNTIF(AJ27:AJ46,"천공")</f>
        <v>0</v>
      </c>
      <c r="AA32" s="65">
        <f>COUNTIF(AK27:AK46,"천국")+COUNTIF(AK27:AK46,"천공")</f>
        <v>0</v>
      </c>
      <c r="AB32" s="64" t="s">
        <v>26</v>
      </c>
      <c r="AC32" s="64">
        <f>SUMIF(AJ27:AJ46,"천국",F27:F46)+SUMIF(AJ27:AJ46,"천공",F27:F46)</f>
        <v>0</v>
      </c>
      <c r="AD32" s="65">
        <f>SUMIF(AK27:AK46,"천국",K27:K46)+SUMIF(AK27:AK46,"천공",K27:K46)</f>
        <v>0</v>
      </c>
      <c r="AE32" s="64">
        <f t="shared" si="5"/>
        <v>0</v>
      </c>
      <c r="AF32" s="65">
        <f t="shared" si="5"/>
        <v>0</v>
      </c>
      <c r="AG32" s="64" t="s">
        <v>26</v>
      </c>
      <c r="AH32" s="64">
        <f t="shared" si="6"/>
        <v>0</v>
      </c>
      <c r="AI32" s="65">
        <f t="shared" si="6"/>
        <v>0</v>
      </c>
      <c r="AJ32" s="64" t="str">
        <f t="shared" si="7"/>
        <v/>
      </c>
      <c r="AK32" s="64" t="str">
        <f t="shared" si="3"/>
        <v/>
      </c>
      <c r="AL32" s="66"/>
      <c r="AM32" s="66"/>
    </row>
    <row r="33" spans="1:39" s="67" customFormat="1" ht="24" customHeight="1" x14ac:dyDescent="0.15">
      <c r="A33" s="254">
        <v>27</v>
      </c>
      <c r="B33" s="222" t="s">
        <v>49</v>
      </c>
      <c r="C33" s="229"/>
      <c r="D33" s="235"/>
      <c r="E33" s="230"/>
      <c r="F33" s="230"/>
      <c r="G33" s="224"/>
      <c r="H33" s="228"/>
      <c r="I33" s="236"/>
      <c r="J33" s="231"/>
      <c r="K33" s="231"/>
      <c r="L33" s="128"/>
      <c r="M33" s="128"/>
      <c r="N33" s="425"/>
      <c r="O33" s="428"/>
      <c r="P33" s="123"/>
      <c r="Q33" s="123"/>
      <c r="R33" s="123"/>
      <c r="S33" s="253"/>
      <c r="T33" s="64" t="s">
        <v>33</v>
      </c>
      <c r="U33" s="64">
        <f>COUNTIF(D27:D46,"구")</f>
        <v>0</v>
      </c>
      <c r="V33" s="65">
        <f>COUNTIF(I27:I46,"구")</f>
        <v>0</v>
      </c>
      <c r="W33" s="64" t="s">
        <v>26</v>
      </c>
      <c r="X33" s="64">
        <f>SUMIF(D27:D46,"구",F27:F46)</f>
        <v>0</v>
      </c>
      <c r="Y33" s="65">
        <f>SUMIF(I27:I46,"구",K27:K46)</f>
        <v>0</v>
      </c>
      <c r="Z33" s="64">
        <f>COUNTIF(AJ27:AJ46,"구국")+COUNTIF(AJ27:AJ46,"구공")</f>
        <v>0</v>
      </c>
      <c r="AA33" s="65">
        <f>COUNTIF(AK27:AK46,"구국")+COUNTIF(AK27:AK46,"구공")</f>
        <v>0</v>
      </c>
      <c r="AB33" s="64" t="s">
        <v>26</v>
      </c>
      <c r="AC33" s="64">
        <f>SUMIF(AJ27:AJ46,"구국",F27:F46)+SUMIF(AJ27:AJ46,"구공",F27:F46)</f>
        <v>0</v>
      </c>
      <c r="AD33" s="65">
        <f>SUMIF(AK27:AK46,"구국",K27:K46)+SUMIF(AK27:AK46,"구공",K27:K46)</f>
        <v>0</v>
      </c>
      <c r="AE33" s="64">
        <f t="shared" si="5"/>
        <v>0</v>
      </c>
      <c r="AF33" s="65">
        <f t="shared" si="5"/>
        <v>0</v>
      </c>
      <c r="AG33" s="64" t="s">
        <v>26</v>
      </c>
      <c r="AH33" s="64">
        <f t="shared" si="6"/>
        <v>0</v>
      </c>
      <c r="AI33" s="65">
        <f t="shared" si="6"/>
        <v>0</v>
      </c>
      <c r="AJ33" s="64" t="str">
        <f t="shared" si="7"/>
        <v/>
      </c>
      <c r="AK33" s="64" t="str">
        <f t="shared" si="3"/>
        <v/>
      </c>
      <c r="AL33" s="66"/>
      <c r="AM33" s="66"/>
    </row>
    <row r="34" spans="1:39" s="67" customFormat="1" ht="24" customHeight="1" x14ac:dyDescent="0.15">
      <c r="A34" s="254">
        <v>28</v>
      </c>
      <c r="B34" s="222" t="s">
        <v>49</v>
      </c>
      <c r="C34" s="136"/>
      <c r="D34" s="133"/>
      <c r="E34" s="135"/>
      <c r="F34" s="135"/>
      <c r="G34" s="224"/>
      <c r="H34" s="232"/>
      <c r="I34" s="233"/>
      <c r="J34" s="227"/>
      <c r="K34" s="227"/>
      <c r="L34" s="128"/>
      <c r="M34" s="137"/>
      <c r="N34" s="445"/>
      <c r="O34" s="429"/>
      <c r="P34" s="102"/>
      <c r="Q34" s="132"/>
      <c r="R34" s="102"/>
      <c r="S34" s="253"/>
      <c r="T34" s="64" t="s">
        <v>34</v>
      </c>
      <c r="U34" s="64">
        <f>COUNTIF(D27:D46,"제")</f>
        <v>0</v>
      </c>
      <c r="V34" s="65">
        <f>COUNTIF(I27:I46,"제")</f>
        <v>0</v>
      </c>
      <c r="W34" s="64" t="s">
        <v>26</v>
      </c>
      <c r="X34" s="64">
        <f>SUMIF(D27:D46,"제",F27:F46)</f>
        <v>0</v>
      </c>
      <c r="Y34" s="65">
        <f>SUMIF(I27:I46,"제",K27:K46)</f>
        <v>0</v>
      </c>
      <c r="Z34" s="64">
        <f>COUNTIF(AJ27:AJ46,"제국")+COUNTIF(AJ27:AJ46,"제공")</f>
        <v>0</v>
      </c>
      <c r="AA34" s="65">
        <f>COUNTIF(AK27:AK46,"제국")+COUNTIF(AK27:AK46,"제공")</f>
        <v>0</v>
      </c>
      <c r="AB34" s="64" t="s">
        <v>26</v>
      </c>
      <c r="AC34" s="64">
        <f>SUMIF(AJ27:AJ46,"제국",F27:F46)+SUMIF(AJ27:AJ46,"제공",F27:F46)</f>
        <v>0</v>
      </c>
      <c r="AD34" s="65">
        <f>SUMIF(AK27:AK46,"제국",K27:K46)+SUMIF(AK27:AK46,"제공",K27:K46)</f>
        <v>0</v>
      </c>
      <c r="AE34" s="64">
        <f t="shared" si="5"/>
        <v>0</v>
      </c>
      <c r="AF34" s="65">
        <f t="shared" si="5"/>
        <v>0</v>
      </c>
      <c r="AG34" s="64" t="s">
        <v>26</v>
      </c>
      <c r="AH34" s="64">
        <f t="shared" si="6"/>
        <v>0</v>
      </c>
      <c r="AI34" s="65">
        <f t="shared" si="6"/>
        <v>0</v>
      </c>
      <c r="AJ34" s="64" t="str">
        <f t="shared" si="7"/>
        <v/>
      </c>
      <c r="AK34" s="64" t="str">
        <f t="shared" si="3"/>
        <v/>
      </c>
      <c r="AL34" s="66"/>
      <c r="AM34" s="66"/>
    </row>
    <row r="35" spans="1:39" s="67" customFormat="1" ht="24" customHeight="1" x14ac:dyDescent="0.15">
      <c r="A35" s="254">
        <v>29</v>
      </c>
      <c r="B35" s="222" t="s">
        <v>49</v>
      </c>
      <c r="C35" s="136"/>
      <c r="D35" s="133"/>
      <c r="E35" s="135"/>
      <c r="F35" s="135"/>
      <c r="G35" s="224"/>
      <c r="H35" s="232"/>
      <c r="I35" s="233"/>
      <c r="J35" s="227"/>
      <c r="K35" s="227"/>
      <c r="L35" s="128"/>
      <c r="M35" s="137"/>
      <c r="N35" s="445"/>
      <c r="O35" s="463"/>
      <c r="P35" s="132"/>
      <c r="Q35" s="132"/>
      <c r="R35" s="132"/>
      <c r="S35" s="206"/>
      <c r="T35" s="64" t="s">
        <v>46</v>
      </c>
      <c r="U35" s="64">
        <f>COUNTIF(D27:D46,"유")</f>
        <v>0</v>
      </c>
      <c r="V35" s="65">
        <f>COUNTIF(I27:I46,"유")</f>
        <v>0</v>
      </c>
      <c r="W35" s="64" t="s">
        <v>26</v>
      </c>
      <c r="X35" s="64">
        <f>SUMIF(D27:D46,"유",F27:F46)</f>
        <v>0</v>
      </c>
      <c r="Y35" s="65">
        <f>SUMIF(I27:I46,"유",K27:K46)</f>
        <v>0</v>
      </c>
      <c r="Z35" s="64">
        <f>COUNTIF(AJ27:AJ46,"유국")+COUNTIF(AJ27:AJ46,"유공")</f>
        <v>0</v>
      </c>
      <c r="AA35" s="65">
        <f>COUNTIF(AK27:AK46,"유국")+COUNTIF(AK27:AK46,"유공")</f>
        <v>0</v>
      </c>
      <c r="AB35" s="64" t="s">
        <v>26</v>
      </c>
      <c r="AC35" s="64">
        <f>SUMIF(AJ27:AJ46,"유국",F27:F46)+SUMIF(AJ27:AJ46,"유공",F27:F46)</f>
        <v>0</v>
      </c>
      <c r="AD35" s="65">
        <f>SUMIF(AK27:AK46,"유국",K27:K46)+SUMIF(AK27:AK46,"유공",K27:K46)</f>
        <v>0</v>
      </c>
      <c r="AE35" s="64">
        <f t="shared" si="5"/>
        <v>0</v>
      </c>
      <c r="AF35" s="65">
        <f t="shared" si="5"/>
        <v>0</v>
      </c>
      <c r="AG35" s="64" t="s">
        <v>26</v>
      </c>
      <c r="AH35" s="64">
        <f t="shared" si="6"/>
        <v>0</v>
      </c>
      <c r="AI35" s="65">
        <f t="shared" si="6"/>
        <v>0</v>
      </c>
      <c r="AJ35" s="64" t="str">
        <f t="shared" si="7"/>
        <v/>
      </c>
      <c r="AK35" s="64" t="str">
        <f t="shared" si="3"/>
        <v/>
      </c>
      <c r="AL35" s="66"/>
      <c r="AM35" s="66"/>
    </row>
    <row r="36" spans="1:39" s="67" customFormat="1" ht="24" customHeight="1" x14ac:dyDescent="0.15">
      <c r="A36" s="254">
        <v>30</v>
      </c>
      <c r="B36" s="222" t="s">
        <v>49</v>
      </c>
      <c r="C36" s="136"/>
      <c r="D36" s="133"/>
      <c r="E36" s="135"/>
      <c r="F36" s="135"/>
      <c r="G36" s="224"/>
      <c r="H36" s="232"/>
      <c r="I36" s="233"/>
      <c r="J36" s="227"/>
      <c r="K36" s="227"/>
      <c r="L36" s="128"/>
      <c r="M36" s="137"/>
      <c r="N36" s="445"/>
      <c r="O36" s="463"/>
      <c r="P36" s="102"/>
      <c r="Q36" s="132"/>
      <c r="R36" s="102"/>
      <c r="S36" s="206"/>
      <c r="T36" s="64" t="s">
        <v>47</v>
      </c>
      <c r="U36" s="64">
        <f>COUNTIF(D27:D46,"과")</f>
        <v>0</v>
      </c>
      <c r="V36" s="65">
        <f>COUNTIF(I27:I46,"과")</f>
        <v>0</v>
      </c>
      <c r="W36" s="64" t="s">
        <v>26</v>
      </c>
      <c r="X36" s="64">
        <f>SUMIF(D27:D46,"과",F27:F46)</f>
        <v>0</v>
      </c>
      <c r="Y36" s="65">
        <f>SUMIF(I27:I46,"과",K27:K46)</f>
        <v>0</v>
      </c>
      <c r="Z36" s="64">
        <f>COUNTIF(AJ27:AJ46,"과국")+COUNTIF(AJ27:AJ46,"과공")</f>
        <v>0</v>
      </c>
      <c r="AA36" s="65">
        <f>COUNTIF(AK27:AK46,"과국")+COUNTIF(AK27:AK46,"과공")</f>
        <v>0</v>
      </c>
      <c r="AB36" s="64" t="s">
        <v>26</v>
      </c>
      <c r="AC36" s="64">
        <f>SUMIF(AJ27:AJ46,"과국",F27:F46)+SUMIF(AJ27:AJ46,"과공",F27:F46)</f>
        <v>0</v>
      </c>
      <c r="AD36" s="65">
        <f>SUMIF(AK27:AK46,"과국",K27:K46)+SUMIF(AK27:AK46,"과공",K27:K46)</f>
        <v>0</v>
      </c>
      <c r="AE36" s="64">
        <f t="shared" si="5"/>
        <v>0</v>
      </c>
      <c r="AF36" s="65">
        <f t="shared" si="5"/>
        <v>0</v>
      </c>
      <c r="AG36" s="64" t="s">
        <v>26</v>
      </c>
      <c r="AH36" s="64">
        <f t="shared" si="6"/>
        <v>0</v>
      </c>
      <c r="AI36" s="65">
        <f t="shared" si="6"/>
        <v>0</v>
      </c>
      <c r="AJ36" s="64" t="str">
        <f t="shared" si="7"/>
        <v/>
      </c>
      <c r="AK36" s="64" t="str">
        <f t="shared" si="3"/>
        <v/>
      </c>
      <c r="AL36" s="66"/>
      <c r="AM36" s="66"/>
    </row>
    <row r="37" spans="1:39" s="67" customFormat="1" ht="24" customHeight="1" x14ac:dyDescent="0.15">
      <c r="A37" s="254">
        <v>31</v>
      </c>
      <c r="B37" s="222" t="s">
        <v>49</v>
      </c>
      <c r="C37" s="136"/>
      <c r="D37" s="133"/>
      <c r="E37" s="135"/>
      <c r="F37" s="135"/>
      <c r="G37" s="224"/>
      <c r="H37" s="232"/>
      <c r="I37" s="233"/>
      <c r="J37" s="227"/>
      <c r="K37" s="227"/>
      <c r="L37" s="128"/>
      <c r="M37" s="137"/>
      <c r="N37" s="425"/>
      <c r="O37" s="428"/>
      <c r="P37" s="132"/>
      <c r="Q37" s="102"/>
      <c r="R37" s="132"/>
      <c r="S37" s="206"/>
      <c r="T37" s="64" t="s">
        <v>36</v>
      </c>
      <c r="U37" s="64">
        <f>COUNTIF(D27:D46,"묘")</f>
        <v>0</v>
      </c>
      <c r="V37" s="65">
        <f>COUNTIF(I27:I46,"묘")</f>
        <v>0</v>
      </c>
      <c r="W37" s="64" t="s">
        <v>26</v>
      </c>
      <c r="X37" s="64">
        <f>SUMIF(D27:D46,"묘",F27:F46)</f>
        <v>0</v>
      </c>
      <c r="Y37" s="65">
        <f>SUMIF(I27:I46,"묘",K27:K46)</f>
        <v>0</v>
      </c>
      <c r="Z37" s="64">
        <f>COUNTIF(AJ27:AJ46,"묘국")+COUNTIF(AJ27:AJ46,"묘공")</f>
        <v>0</v>
      </c>
      <c r="AA37" s="65">
        <f>COUNTIF(AK27:AK46,"묘국")+COUNTIF(AK27:AK46,"묘공")</f>
        <v>0</v>
      </c>
      <c r="AB37" s="64" t="s">
        <v>26</v>
      </c>
      <c r="AC37" s="64">
        <f>SUMIF(AJ27:AJ46,"묘국",F27:F46)+SUMIF(AJ27:AJ46,"묘공",F27:F46)</f>
        <v>0</v>
      </c>
      <c r="AD37" s="65">
        <f>SUMIF(AK27:AK46,"묘국",K27:K46)+SUMIF(AK27:AK46,"묘공",K27:K46)</f>
        <v>0</v>
      </c>
      <c r="AE37" s="64">
        <f t="shared" si="5"/>
        <v>0</v>
      </c>
      <c r="AF37" s="65">
        <f t="shared" si="5"/>
        <v>0</v>
      </c>
      <c r="AG37" s="64" t="s">
        <v>26</v>
      </c>
      <c r="AH37" s="64">
        <f t="shared" si="6"/>
        <v>0</v>
      </c>
      <c r="AI37" s="65">
        <f t="shared" si="6"/>
        <v>0</v>
      </c>
      <c r="AJ37" s="64" t="str">
        <f t="shared" si="7"/>
        <v/>
      </c>
      <c r="AK37" s="64" t="str">
        <f t="shared" si="3"/>
        <v/>
      </c>
      <c r="AL37" s="66"/>
      <c r="AM37" s="66"/>
    </row>
    <row r="38" spans="1:39" s="67" customFormat="1" ht="24" customHeight="1" x14ac:dyDescent="0.15">
      <c r="A38" s="254">
        <v>32</v>
      </c>
      <c r="B38" s="222" t="s">
        <v>49</v>
      </c>
      <c r="C38" s="136"/>
      <c r="D38" s="133"/>
      <c r="E38" s="135"/>
      <c r="F38" s="135"/>
      <c r="G38" s="224"/>
      <c r="H38" s="232"/>
      <c r="I38" s="233"/>
      <c r="J38" s="227"/>
      <c r="K38" s="227"/>
      <c r="L38" s="128"/>
      <c r="M38" s="137"/>
      <c r="N38" s="425"/>
      <c r="O38" s="428"/>
      <c r="P38" s="132"/>
      <c r="Q38" s="132"/>
      <c r="R38" s="132"/>
      <c r="S38" s="206"/>
      <c r="T38" s="64" t="s">
        <v>39</v>
      </c>
      <c r="U38" s="64">
        <f>COUNTIF(D27:D46,"수")</f>
        <v>0</v>
      </c>
      <c r="V38" s="65">
        <f>COUNTIF(I27:I46,"수")</f>
        <v>0</v>
      </c>
      <c r="W38" s="64" t="s">
        <v>26</v>
      </c>
      <c r="X38" s="64">
        <f>SUMIF(D27:D46,"수",F27:F46)</f>
        <v>0</v>
      </c>
      <c r="Y38" s="65">
        <f>SUMIF(I27:I46,"수",K27:K46)</f>
        <v>0</v>
      </c>
      <c r="Z38" s="64">
        <f>COUNTIF(AJ27:AJ46,"수국")+COUNTIF(AJ27:AJ46,"수공")</f>
        <v>0</v>
      </c>
      <c r="AA38" s="65">
        <f>COUNTIF(AK27:AK46,"수국")+COUNTIF(AK27:AK46,"수공")</f>
        <v>0</v>
      </c>
      <c r="AB38" s="64" t="s">
        <v>26</v>
      </c>
      <c r="AC38" s="64">
        <f>SUMIF(AJ27:AJ46,"수국",F27:F46)+SUMIF(AJ27:AJ46,"수공",F27:F46)</f>
        <v>0</v>
      </c>
      <c r="AD38" s="65">
        <f>SUMIF(AK27:AK46,"수국",K27:K46)+SUMIF(AK27:AK46,"수공",K27:K46)</f>
        <v>0</v>
      </c>
      <c r="AE38" s="64">
        <f t="shared" si="5"/>
        <v>0</v>
      </c>
      <c r="AF38" s="65">
        <f t="shared" si="5"/>
        <v>0</v>
      </c>
      <c r="AG38" s="64" t="s">
        <v>26</v>
      </c>
      <c r="AH38" s="64">
        <f t="shared" si="6"/>
        <v>0</v>
      </c>
      <c r="AI38" s="65">
        <f t="shared" si="6"/>
        <v>0</v>
      </c>
      <c r="AJ38" s="64" t="str">
        <f t="shared" si="7"/>
        <v/>
      </c>
      <c r="AK38" s="64" t="str">
        <f t="shared" si="3"/>
        <v/>
      </c>
      <c r="AL38" s="66"/>
      <c r="AM38" s="66"/>
    </row>
    <row r="39" spans="1:39" s="67" customFormat="1" ht="24" customHeight="1" x14ac:dyDescent="0.15">
      <c r="A39" s="254">
        <v>33</v>
      </c>
      <c r="B39" s="222" t="s">
        <v>49</v>
      </c>
      <c r="C39" s="229"/>
      <c r="D39" s="235"/>
      <c r="E39" s="230"/>
      <c r="F39" s="230"/>
      <c r="G39" s="224"/>
      <c r="H39" s="228"/>
      <c r="I39" s="236"/>
      <c r="J39" s="231"/>
      <c r="K39" s="231"/>
      <c r="L39" s="128"/>
      <c r="M39" s="137"/>
      <c r="N39" s="425"/>
      <c r="O39" s="428"/>
      <c r="P39" s="123"/>
      <c r="Q39" s="123"/>
      <c r="R39" s="123"/>
      <c r="S39" s="206"/>
      <c r="T39" s="64" t="s">
        <v>35</v>
      </c>
      <c r="U39" s="64">
        <f>COUNTIF(D27:D46,"잡")</f>
        <v>0</v>
      </c>
      <c r="V39" s="65">
        <f>COUNTIF(I27:I46,"잡")</f>
        <v>0</v>
      </c>
      <c r="W39" s="64" t="s">
        <v>26</v>
      </c>
      <c r="X39" s="64">
        <f>SUMIF(D27:D46,"잡",F27:F46)</f>
        <v>0</v>
      </c>
      <c r="Y39" s="65">
        <f>SUMIF(I27:I46,"잡",K27:K46)</f>
        <v>0</v>
      </c>
      <c r="Z39" s="64">
        <f>COUNTIF(AJ27:AJ46,"잡국")+COUNTIF(AJ27:AJ46,"잡공")</f>
        <v>0</v>
      </c>
      <c r="AA39" s="65">
        <f>COUNTIF(AK27:AK46,"잡국")+COUNTIF(AK27:AK46,"잡공")</f>
        <v>0</v>
      </c>
      <c r="AB39" s="64" t="s">
        <v>26</v>
      </c>
      <c r="AC39" s="64">
        <f>SUMIF(AJ27:AJ46,"잡국",F27:F46)+SUMIF(AJ27:AJ46,"잡공",F27:F46)</f>
        <v>0</v>
      </c>
      <c r="AD39" s="65">
        <f>SUMIF(AK27:AK46,"잡국",K27:K46)+SUMIF(AK27:AK46,"잡공",K27:K46)</f>
        <v>0</v>
      </c>
      <c r="AE39" s="64">
        <f t="shared" si="5"/>
        <v>0</v>
      </c>
      <c r="AF39" s="65">
        <f t="shared" si="5"/>
        <v>0</v>
      </c>
      <c r="AG39" s="64" t="s">
        <v>26</v>
      </c>
      <c r="AH39" s="64">
        <f t="shared" si="6"/>
        <v>0</v>
      </c>
      <c r="AI39" s="65">
        <f t="shared" si="6"/>
        <v>0</v>
      </c>
      <c r="AJ39" s="64" t="str">
        <f t="shared" si="7"/>
        <v/>
      </c>
      <c r="AK39" s="64" t="str">
        <f t="shared" si="3"/>
        <v/>
      </c>
      <c r="AL39" s="66"/>
      <c r="AM39" s="66"/>
    </row>
    <row r="40" spans="1:39" s="67" customFormat="1" ht="24" customHeight="1" x14ac:dyDescent="0.15">
      <c r="A40" s="254">
        <v>34</v>
      </c>
      <c r="B40" s="222" t="s">
        <v>49</v>
      </c>
      <c r="C40" s="222"/>
      <c r="D40" s="222"/>
      <c r="E40" s="135"/>
      <c r="F40" s="135"/>
      <c r="G40" s="224"/>
      <c r="H40" s="226"/>
      <c r="I40" s="226"/>
      <c r="J40" s="227"/>
      <c r="K40" s="227"/>
      <c r="L40" s="128"/>
      <c r="M40" s="128"/>
      <c r="N40" s="425"/>
      <c r="O40" s="428"/>
      <c r="P40" s="132"/>
      <c r="Q40" s="132"/>
      <c r="R40" s="132"/>
      <c r="S40" s="206"/>
      <c r="T40" s="64" t="s">
        <v>195</v>
      </c>
      <c r="U40" s="64">
        <f>COUNTIF(D27:D46,"창")</f>
        <v>0</v>
      </c>
      <c r="V40" s="65">
        <f>COUNTIF(I27:I46,"창")</f>
        <v>0</v>
      </c>
      <c r="W40" s="64" t="s">
        <v>26</v>
      </c>
      <c r="X40" s="64">
        <f>SUMIF(D27:D46,"창",F27:F46)</f>
        <v>0</v>
      </c>
      <c r="Y40" s="65">
        <f>SUMIF(I27:I46,"창",K27:K46)</f>
        <v>0</v>
      </c>
      <c r="Z40" s="64">
        <f>COUNTIF(AJ27:AJ46,"창국")+COUNTIF(AJ27:AJ46,"창공")</f>
        <v>0</v>
      </c>
      <c r="AA40" s="65">
        <f>COUNTIF(AK27:AK46,"창국")+COUNTIF(AK27:AK46,"창공")</f>
        <v>0</v>
      </c>
      <c r="AB40" s="64" t="s">
        <v>26</v>
      </c>
      <c r="AC40" s="64">
        <f>SUMIF(AJ27:AJ46,"창국",F27:F46)+SUMIF(AJ27:AJ46,"창공",F27:F46)</f>
        <v>0</v>
      </c>
      <c r="AD40" s="65">
        <f>SUMIF(AK27:AK46,"창국",K27:K46)+SUMIF(AK27:AK46,"창공",K27:K46)</f>
        <v>0</v>
      </c>
      <c r="AE40" s="64">
        <f t="shared" si="5"/>
        <v>0</v>
      </c>
      <c r="AF40" s="65">
        <f t="shared" si="5"/>
        <v>0</v>
      </c>
      <c r="AG40" s="64" t="s">
        <v>26</v>
      </c>
      <c r="AH40" s="64">
        <f t="shared" si="6"/>
        <v>0</v>
      </c>
      <c r="AI40" s="65">
        <f t="shared" si="6"/>
        <v>0</v>
      </c>
      <c r="AJ40" s="64" t="str">
        <f t="shared" si="7"/>
        <v/>
      </c>
      <c r="AK40" s="64" t="str">
        <f t="shared" si="3"/>
        <v/>
      </c>
      <c r="AL40" s="66"/>
      <c r="AM40" s="66"/>
    </row>
    <row r="41" spans="1:39" s="67" customFormat="1" ht="24" customHeight="1" x14ac:dyDescent="0.15">
      <c r="A41" s="254">
        <v>35</v>
      </c>
      <c r="B41" s="222" t="s">
        <v>49</v>
      </c>
      <c r="C41" s="229"/>
      <c r="D41" s="235"/>
      <c r="E41" s="230"/>
      <c r="F41" s="230"/>
      <c r="G41" s="224"/>
      <c r="H41" s="228"/>
      <c r="I41" s="236"/>
      <c r="J41" s="231"/>
      <c r="K41" s="231"/>
      <c r="L41" s="128"/>
      <c r="M41" s="137"/>
      <c r="N41" s="425"/>
      <c r="O41" s="428"/>
      <c r="P41" s="123"/>
      <c r="Q41" s="123"/>
      <c r="R41" s="123"/>
      <c r="S41" s="206"/>
      <c r="T41" s="64" t="s">
        <v>194</v>
      </c>
      <c r="U41" s="64">
        <f>COUNTIF(D27:D46,"장")</f>
        <v>0</v>
      </c>
      <c r="V41" s="65">
        <f>COUNTIF(I27:I46,"장")</f>
        <v>0</v>
      </c>
      <c r="W41" s="64" t="s">
        <v>26</v>
      </c>
      <c r="X41" s="64">
        <f>SUMIF(D27:D46,"장",F27:F46)</f>
        <v>0</v>
      </c>
      <c r="Y41" s="65">
        <f>SUMIF(I27:I46,"장",K27:K46)</f>
        <v>0</v>
      </c>
      <c r="Z41" s="64">
        <f>COUNTIF(AJ27:AJ46,"장국")+COUNTIF(AJ27:AJ46,"장장")</f>
        <v>0</v>
      </c>
      <c r="AA41" s="65">
        <f>COUNTIF(AK27:AK46,"장국")+COUNTIF(AK27:AK46,"장장")</f>
        <v>0</v>
      </c>
      <c r="AB41" s="64" t="s">
        <v>26</v>
      </c>
      <c r="AC41" s="64">
        <f>SUMIF(AJ27:AJ46,"장국",F27:F46)+SUMIF(AJ27:AJ46,"장장",F27:F46)</f>
        <v>0</v>
      </c>
      <c r="AD41" s="65">
        <f>SUMIF(AK27:AK46,"장국",K27:K46)+SUMIF(AK27:AK46,"장장",K27:K46)</f>
        <v>0</v>
      </c>
      <c r="AE41" s="64">
        <f t="shared" si="5"/>
        <v>0</v>
      </c>
      <c r="AF41" s="65">
        <f t="shared" si="5"/>
        <v>0</v>
      </c>
      <c r="AG41" s="64" t="s">
        <v>26</v>
      </c>
      <c r="AH41" s="64">
        <f t="shared" si="6"/>
        <v>0</v>
      </c>
      <c r="AI41" s="65">
        <f t="shared" si="6"/>
        <v>0</v>
      </c>
      <c r="AJ41" s="64" t="str">
        <f t="shared" si="7"/>
        <v/>
      </c>
      <c r="AK41" s="64" t="str">
        <f t="shared" si="3"/>
        <v/>
      </c>
      <c r="AL41" s="66"/>
      <c r="AM41" s="66"/>
    </row>
    <row r="42" spans="1:39" s="67" customFormat="1" ht="24" customHeight="1" x14ac:dyDescent="0.15">
      <c r="A42" s="254">
        <v>36</v>
      </c>
      <c r="B42" s="222" t="s">
        <v>49</v>
      </c>
      <c r="C42" s="222"/>
      <c r="D42" s="222"/>
      <c r="E42" s="135"/>
      <c r="F42" s="135"/>
      <c r="G42" s="224"/>
      <c r="H42" s="226"/>
      <c r="I42" s="226"/>
      <c r="J42" s="227"/>
      <c r="K42" s="227"/>
      <c r="L42" s="128"/>
      <c r="M42" s="137"/>
      <c r="N42" s="425"/>
      <c r="O42" s="428"/>
      <c r="P42" s="132"/>
      <c r="Q42" s="102"/>
      <c r="R42" s="132"/>
      <c r="S42" s="206"/>
      <c r="T42" s="70" t="s">
        <v>193</v>
      </c>
      <c r="U42" s="64">
        <f>COUNTIF(D27:D46,"학")</f>
        <v>0</v>
      </c>
      <c r="V42" s="65">
        <f>COUNTIF(I27:I46,"학")</f>
        <v>0</v>
      </c>
      <c r="W42" s="64" t="s">
        <v>26</v>
      </c>
      <c r="X42" s="64">
        <f>SUMIF(D27:D46,"학",F27:F46)</f>
        <v>0</v>
      </c>
      <c r="Y42" s="65">
        <f>SUMIF(I27:I46,"학",K27:K46)</f>
        <v>0</v>
      </c>
      <c r="Z42" s="64">
        <f>COUNTIF(AJ27:AJ46,"학국")+COUNTIF(AJ27:AJ46,"학공")</f>
        <v>0</v>
      </c>
      <c r="AA42" s="65">
        <f>COUNTIF(AK27:AK46,"학국")+COUNTIF(AK27:AK46,"학공")</f>
        <v>0</v>
      </c>
      <c r="AB42" s="64" t="s">
        <v>26</v>
      </c>
      <c r="AC42" s="64">
        <f>SUMIF(AJ27:AJ46,"학국",F27:F46)+SUMIF(AJ27:AJ46,"학공",F27:F46)</f>
        <v>0</v>
      </c>
      <c r="AD42" s="65">
        <f>SUMIF(AK27:AK46,"학국",K27:K46)+SUMIF(AK27:AK46,"학공",K27:K46)</f>
        <v>0</v>
      </c>
      <c r="AE42" s="64">
        <f t="shared" si="5"/>
        <v>0</v>
      </c>
      <c r="AF42" s="65">
        <f t="shared" si="5"/>
        <v>0</v>
      </c>
      <c r="AG42" s="64" t="s">
        <v>26</v>
      </c>
      <c r="AH42" s="64">
        <f t="shared" si="6"/>
        <v>0</v>
      </c>
      <c r="AI42" s="65">
        <f t="shared" si="6"/>
        <v>0</v>
      </c>
      <c r="AJ42" s="64" t="str">
        <f t="shared" si="7"/>
        <v/>
      </c>
      <c r="AK42" s="64" t="str">
        <f t="shared" si="3"/>
        <v/>
      </c>
      <c r="AL42" s="66"/>
      <c r="AM42" s="66"/>
    </row>
    <row r="43" spans="1:39" s="67" customFormat="1" ht="24" customHeight="1" x14ac:dyDescent="0.15">
      <c r="A43" s="254">
        <v>37</v>
      </c>
      <c r="B43" s="222" t="s">
        <v>49</v>
      </c>
      <c r="C43" s="257"/>
      <c r="D43" s="222"/>
      <c r="E43" s="135"/>
      <c r="F43" s="135"/>
      <c r="G43" s="224"/>
      <c r="H43" s="258"/>
      <c r="I43" s="226"/>
      <c r="J43" s="227"/>
      <c r="K43" s="227"/>
      <c r="L43" s="128"/>
      <c r="M43" s="128"/>
      <c r="N43" s="425"/>
      <c r="O43" s="425"/>
      <c r="P43" s="102"/>
      <c r="Q43" s="102"/>
      <c r="R43" s="132"/>
      <c r="S43" s="206"/>
      <c r="T43" s="70" t="s">
        <v>79</v>
      </c>
      <c r="U43" s="64">
        <f>COUNTIF(D27:D46,"창")</f>
        <v>0</v>
      </c>
      <c r="V43" s="65">
        <f>COUNTIF(I27:I46,"창")</f>
        <v>0</v>
      </c>
      <c r="W43" s="64" t="s">
        <v>26</v>
      </c>
      <c r="X43" s="64">
        <f>SUMIF(D27:D46,"창",F27:F46)</f>
        <v>0</v>
      </c>
      <c r="Y43" s="65">
        <f>SUMIF(I27:I46,"창",K27:K46)</f>
        <v>0</v>
      </c>
      <c r="Z43" s="64">
        <f>COUNTIF(AJ27:AJ46,"창국")+COUNTIF(AJ27:AJ46,"창공")</f>
        <v>0</v>
      </c>
      <c r="AA43" s="65">
        <f>COUNTIF(AK27:AK46,"창국")+COUNTIF(AK27:AK46,"창공")</f>
        <v>0</v>
      </c>
      <c r="AB43" s="64" t="s">
        <v>26</v>
      </c>
      <c r="AC43" s="64">
        <f>SUMIF(AJ27:AJ46,"창국",F27:F46)+SUMIF(AJ27:AJ46,"창공",F27:F46)</f>
        <v>0</v>
      </c>
      <c r="AD43" s="65">
        <f>SUMIF(AK27:AK46,"창국",K27:K46)+SUMIF(AK27:AK46,"창공",K27:K46)</f>
        <v>0</v>
      </c>
      <c r="AE43" s="64">
        <f t="shared" si="5"/>
        <v>0</v>
      </c>
      <c r="AF43" s="65">
        <f t="shared" si="5"/>
        <v>0</v>
      </c>
      <c r="AG43" s="64" t="s">
        <v>26</v>
      </c>
      <c r="AH43" s="64">
        <f t="shared" si="6"/>
        <v>0</v>
      </c>
      <c r="AI43" s="65">
        <f t="shared" si="6"/>
        <v>0</v>
      </c>
      <c r="AJ43" s="64" t="str">
        <f t="shared" si="7"/>
        <v/>
      </c>
      <c r="AK43" s="64" t="str">
        <f t="shared" si="3"/>
        <v/>
      </c>
      <c r="AL43" s="66"/>
      <c r="AM43" s="66"/>
    </row>
    <row r="44" spans="1:39" s="67" customFormat="1" ht="24" customHeight="1" x14ac:dyDescent="0.15">
      <c r="A44" s="254">
        <v>38</v>
      </c>
      <c r="B44" s="222" t="s">
        <v>49</v>
      </c>
      <c r="C44" s="229"/>
      <c r="D44" s="235"/>
      <c r="E44" s="230"/>
      <c r="F44" s="230"/>
      <c r="G44" s="224"/>
      <c r="H44" s="228"/>
      <c r="I44" s="236"/>
      <c r="J44" s="231"/>
      <c r="K44" s="231"/>
      <c r="L44" s="128"/>
      <c r="M44" s="137"/>
      <c r="N44" s="425"/>
      <c r="O44" s="428"/>
      <c r="P44" s="123"/>
      <c r="Q44" s="123"/>
      <c r="R44" s="123"/>
      <c r="S44" s="206"/>
      <c r="T44" s="70"/>
      <c r="U44" s="70"/>
      <c r="V44" s="71"/>
      <c r="W44" s="70"/>
      <c r="X44" s="70"/>
      <c r="Y44" s="71"/>
      <c r="Z44" s="64"/>
      <c r="AA44" s="65"/>
      <c r="AB44" s="70"/>
      <c r="AC44" s="64"/>
      <c r="AD44" s="65"/>
      <c r="AE44" s="70"/>
      <c r="AF44" s="71"/>
      <c r="AG44" s="70"/>
      <c r="AH44" s="70"/>
      <c r="AI44" s="71"/>
      <c r="AJ44" s="64" t="str">
        <f t="shared" si="7"/>
        <v/>
      </c>
      <c r="AK44" s="64" t="str">
        <f t="shared" si="3"/>
        <v/>
      </c>
      <c r="AL44" s="66"/>
      <c r="AM44" s="66"/>
    </row>
    <row r="45" spans="1:39" s="67" customFormat="1" ht="24" customHeight="1" x14ac:dyDescent="0.15">
      <c r="A45" s="254">
        <v>39</v>
      </c>
      <c r="B45" s="222" t="s">
        <v>49</v>
      </c>
      <c r="C45" s="222"/>
      <c r="D45" s="222"/>
      <c r="E45" s="135"/>
      <c r="F45" s="135"/>
      <c r="G45" s="224"/>
      <c r="H45" s="226"/>
      <c r="I45" s="226"/>
      <c r="J45" s="227"/>
      <c r="K45" s="227"/>
      <c r="L45" s="128"/>
      <c r="M45" s="128"/>
      <c r="N45" s="425"/>
      <c r="O45" s="425"/>
      <c r="P45" s="132"/>
      <c r="Q45" s="138"/>
      <c r="R45" s="132"/>
      <c r="S45" s="206"/>
      <c r="T45" s="70"/>
      <c r="U45" s="70"/>
      <c r="V45" s="71"/>
      <c r="W45" s="70"/>
      <c r="X45" s="70"/>
      <c r="Y45" s="71"/>
      <c r="Z45" s="64"/>
      <c r="AA45" s="65"/>
      <c r="AB45" s="70"/>
      <c r="AC45" s="64"/>
      <c r="AD45" s="65"/>
      <c r="AE45" s="70"/>
      <c r="AF45" s="71"/>
      <c r="AG45" s="70"/>
      <c r="AH45" s="70"/>
      <c r="AI45" s="71"/>
      <c r="AJ45" s="64" t="str">
        <f t="shared" si="7"/>
        <v/>
      </c>
      <c r="AK45" s="64" t="str">
        <f t="shared" si="3"/>
        <v/>
      </c>
      <c r="AL45" s="66"/>
      <c r="AM45" s="66"/>
    </row>
    <row r="46" spans="1:39" s="67" customFormat="1" ht="24" customHeight="1" x14ac:dyDescent="0.15">
      <c r="A46" s="259">
        <v>40</v>
      </c>
      <c r="B46" s="222" t="s">
        <v>49</v>
      </c>
      <c r="C46" s="136"/>
      <c r="D46" s="133"/>
      <c r="E46" s="135"/>
      <c r="F46" s="135"/>
      <c r="G46" s="224"/>
      <c r="H46" s="232"/>
      <c r="I46" s="233"/>
      <c r="J46" s="227"/>
      <c r="K46" s="227"/>
      <c r="L46" s="128"/>
      <c r="M46" s="128"/>
      <c r="N46" s="425"/>
      <c r="O46" s="425"/>
      <c r="P46" s="102"/>
      <c r="Q46" s="132"/>
      <c r="R46" s="102"/>
      <c r="S46" s="206"/>
      <c r="T46" s="72" t="s">
        <v>37</v>
      </c>
      <c r="U46" s="72">
        <f>COUNTIF(D27:D46,"철")</f>
        <v>0</v>
      </c>
      <c r="V46" s="73">
        <f>COUNTIF(I27:I46,"철")</f>
        <v>0</v>
      </c>
      <c r="W46" s="72" t="s">
        <v>26</v>
      </c>
      <c r="X46" s="72">
        <f>SUMIF(D27:D46,"철",F27:F46)</f>
        <v>0</v>
      </c>
      <c r="Y46" s="73">
        <f>SUMIF(I27:I46,"철",K27:K46)</f>
        <v>0</v>
      </c>
      <c r="Z46" s="64">
        <f>COUNTIF(AJ27:AJ46,"철국")+COUNTIF(AJ27:AJ46,"철공")</f>
        <v>0</v>
      </c>
      <c r="AA46" s="65">
        <f>COUNTIF(AK27:AK46,"철국")+COUNTIF(AK27:AK46,"철공")</f>
        <v>0</v>
      </c>
      <c r="AB46" s="72" t="s">
        <v>26</v>
      </c>
      <c r="AC46" s="64">
        <f>SUMIF(AJ27:AJ46,"철국",F27:F46)+SUMIF(AJ27:AJ46,"철공",F27:F46)</f>
        <v>0</v>
      </c>
      <c r="AD46" s="65">
        <f>SUMIF(AK27:AK46,"철국",K27:K46)+SUMIF(AK27:AK46,"철공",K27:K46)</f>
        <v>0</v>
      </c>
      <c r="AE46" s="72"/>
      <c r="AF46" s="73"/>
      <c r="AG46" s="72"/>
      <c r="AH46" s="72"/>
      <c r="AI46" s="73"/>
      <c r="AJ46" s="64" t="str">
        <f t="shared" si="7"/>
        <v/>
      </c>
      <c r="AK46" s="64" t="str">
        <f t="shared" si="3"/>
        <v/>
      </c>
      <c r="AL46" s="66"/>
      <c r="AM46" s="66"/>
    </row>
    <row r="47" spans="1:39" s="57" customFormat="1" ht="24" customHeight="1" thickBot="1" x14ac:dyDescent="0.2">
      <c r="A47" s="147" t="s">
        <v>48</v>
      </c>
      <c r="B47" s="148"/>
      <c r="C47" s="148"/>
      <c r="D47" s="148"/>
      <c r="E47" s="148"/>
      <c r="F47" s="149">
        <f>SUM(F27:F46)</f>
        <v>0</v>
      </c>
      <c r="G47" s="238"/>
      <c r="H47" s="238"/>
      <c r="I47" s="239"/>
      <c r="J47" s="238"/>
      <c r="K47" s="240">
        <f>SUM(K27:K46)</f>
        <v>0</v>
      </c>
      <c r="L47" s="150"/>
      <c r="M47" s="150"/>
      <c r="N47" s="432"/>
      <c r="O47" s="432"/>
      <c r="P47" s="150"/>
      <c r="Q47" s="150"/>
      <c r="R47" s="150"/>
      <c r="S47" s="151"/>
      <c r="T47" s="62" t="s">
        <v>24</v>
      </c>
      <c r="U47" s="63">
        <f t="shared" ref="U47:AA47" si="8">SUM(U27:U46)</f>
        <v>0</v>
      </c>
      <c r="V47" s="63">
        <f t="shared" si="8"/>
        <v>0</v>
      </c>
      <c r="W47" s="63">
        <f t="shared" si="8"/>
        <v>0</v>
      </c>
      <c r="X47" s="63">
        <f t="shared" si="8"/>
        <v>0</v>
      </c>
      <c r="Y47" s="63">
        <f t="shared" si="8"/>
        <v>0</v>
      </c>
      <c r="Z47" s="63">
        <f t="shared" si="8"/>
        <v>0</v>
      </c>
      <c r="AA47" s="63">
        <f t="shared" si="8"/>
        <v>0</v>
      </c>
      <c r="AB47" s="63" t="s">
        <v>26</v>
      </c>
      <c r="AC47" s="63">
        <f>SUM(AC27:AC46)</f>
        <v>0</v>
      </c>
      <c r="AD47" s="63">
        <f>SUM(AD27:AD46)</f>
        <v>0</v>
      </c>
      <c r="AE47" s="63">
        <f>SUM(AE27:AE46)</f>
        <v>0</v>
      </c>
      <c r="AF47" s="63">
        <f>SUM(AF27:AF46)</f>
        <v>0</v>
      </c>
      <c r="AG47" s="63" t="s">
        <v>26</v>
      </c>
      <c r="AH47" s="63">
        <f>SUM(AH27:AH46)</f>
        <v>0</v>
      </c>
      <c r="AI47" s="63">
        <f>SUM(AI27:AI46)</f>
        <v>0</v>
      </c>
      <c r="AJ47" s="63"/>
      <c r="AK47" s="64" t="str">
        <f t="shared" si="3"/>
        <v/>
      </c>
    </row>
    <row r="48" spans="1:39" s="67" customFormat="1" ht="24" customHeight="1" x14ac:dyDescent="0.15">
      <c r="A48" s="260">
        <v>41</v>
      </c>
      <c r="B48" s="215"/>
      <c r="C48" s="140"/>
      <c r="D48" s="141"/>
      <c r="E48" s="143"/>
      <c r="F48" s="143"/>
      <c r="G48" s="244"/>
      <c r="H48" s="261"/>
      <c r="I48" s="262"/>
      <c r="J48" s="263"/>
      <c r="K48" s="263"/>
      <c r="L48" s="144"/>
      <c r="M48" s="472"/>
      <c r="N48" s="438"/>
      <c r="O48" s="462"/>
      <c r="P48" s="145"/>
      <c r="Q48" s="145"/>
      <c r="R48" s="145"/>
      <c r="S48" s="249"/>
      <c r="T48" s="64" t="s">
        <v>27</v>
      </c>
      <c r="U48" s="64">
        <f>COUNTIF(D48:D67,"전")</f>
        <v>0</v>
      </c>
      <c r="V48" s="65">
        <f>COUNTIF(I48:I67,"전")</f>
        <v>0</v>
      </c>
      <c r="W48" s="64" t="s">
        <v>26</v>
      </c>
      <c r="X48" s="64">
        <f>SUMIF(D48:D67,"전",F48:F67)</f>
        <v>0</v>
      </c>
      <c r="Y48" s="65">
        <f>SUMIF(I48:I67,"전",K48:K67)</f>
        <v>0</v>
      </c>
      <c r="Z48" s="64">
        <f>COUNTIF(AJ48:AJ67,"전국")+COUNTIF(AJ48:AJ67,"전공")</f>
        <v>0</v>
      </c>
      <c r="AA48" s="65">
        <f>COUNTIF(AK48:AK67,"전국")+COUNTIF(AK48:AK67,"전공")</f>
        <v>0</v>
      </c>
      <c r="AB48" s="64" t="s">
        <v>26</v>
      </c>
      <c r="AC48" s="64">
        <f>SUMIF(AJ48:AJ67,"전국",F48:F67)+SUMIF(AJ48:AJ67,"전공",F48:F67)</f>
        <v>0</v>
      </c>
      <c r="AD48" s="65">
        <f>SUMIF(AK48:AK67,"전국",K48:K67)+SUMIF(AK48:AK67,"전공",K48:K67)</f>
        <v>0</v>
      </c>
      <c r="AE48" s="64">
        <f t="shared" ref="AE48:AF64" si="9">U48-Z48</f>
        <v>0</v>
      </c>
      <c r="AF48" s="65">
        <f t="shared" si="9"/>
        <v>0</v>
      </c>
      <c r="AG48" s="64" t="s">
        <v>26</v>
      </c>
      <c r="AH48" s="64">
        <f t="shared" ref="AH48:AI64" si="10">X48-AC48</f>
        <v>0</v>
      </c>
      <c r="AI48" s="65">
        <f t="shared" si="10"/>
        <v>0</v>
      </c>
      <c r="AJ48" s="64" t="str">
        <f t="shared" ref="AJ48:AJ67" si="11">CONCATENATE(D48,L48)</f>
        <v/>
      </c>
      <c r="AK48" s="64" t="str">
        <f t="shared" si="3"/>
        <v/>
      </c>
    </row>
    <row r="49" spans="1:39" s="67" customFormat="1" ht="24" customHeight="1" x14ac:dyDescent="0.15">
      <c r="A49" s="254">
        <v>42</v>
      </c>
      <c r="B49" s="222"/>
      <c r="C49" s="136"/>
      <c r="D49" s="133"/>
      <c r="E49" s="135"/>
      <c r="F49" s="135"/>
      <c r="G49" s="224"/>
      <c r="H49" s="232"/>
      <c r="I49" s="233"/>
      <c r="J49" s="227"/>
      <c r="K49" s="227"/>
      <c r="L49" s="128"/>
      <c r="M49" s="128"/>
      <c r="N49" s="425"/>
      <c r="O49" s="425"/>
      <c r="P49" s="102"/>
      <c r="Q49" s="132"/>
      <c r="R49" s="102"/>
      <c r="S49" s="253"/>
      <c r="T49" s="64" t="s">
        <v>28</v>
      </c>
      <c r="U49" s="64">
        <f>COUNTIF(D48:D67,"답")</f>
        <v>0</v>
      </c>
      <c r="V49" s="65">
        <f>COUNTIF(I48:I67,"답")</f>
        <v>0</v>
      </c>
      <c r="W49" s="64" t="s">
        <v>26</v>
      </c>
      <c r="X49" s="64">
        <f>SUMIF(D48:D67,"답",F48:F67)</f>
        <v>0</v>
      </c>
      <c r="Y49" s="65">
        <f>SUMIF(I48:I67,"답",K48:K67)</f>
        <v>0</v>
      </c>
      <c r="Z49" s="64">
        <f>COUNTIF(AJ48:AJ67,"답국")+COUNTIF(AJ48:AJ67,"답공")</f>
        <v>0</v>
      </c>
      <c r="AA49" s="65">
        <f>COUNTIF(AK48:AK67,"답국")+COUNTIF(AK48:AK67,"답공")</f>
        <v>0</v>
      </c>
      <c r="AB49" s="64" t="s">
        <v>26</v>
      </c>
      <c r="AC49" s="64">
        <f>SUMIF(AJ48:AJ67,"답국",F48:F67)+SUMIF(AJ48:AJ67,"답공",F48:F67)</f>
        <v>0</v>
      </c>
      <c r="AD49" s="65">
        <f>SUMIF(AK48:AK67,"답국",K48:K67)+SUMIF(AK48:AK67,"답공",K48:K67)</f>
        <v>0</v>
      </c>
      <c r="AE49" s="64">
        <f t="shared" si="9"/>
        <v>0</v>
      </c>
      <c r="AF49" s="65">
        <f t="shared" si="9"/>
        <v>0</v>
      </c>
      <c r="AG49" s="64" t="s">
        <v>26</v>
      </c>
      <c r="AH49" s="64">
        <f t="shared" si="10"/>
        <v>0</v>
      </c>
      <c r="AI49" s="65">
        <f t="shared" si="10"/>
        <v>0</v>
      </c>
      <c r="AJ49" s="64" t="str">
        <f t="shared" si="11"/>
        <v/>
      </c>
      <c r="AK49" s="64" t="str">
        <f t="shared" si="3"/>
        <v/>
      </c>
    </row>
    <row r="50" spans="1:39" s="67" customFormat="1" ht="24" customHeight="1" x14ac:dyDescent="0.15">
      <c r="A50" s="254">
        <v>43</v>
      </c>
      <c r="B50" s="222"/>
      <c r="C50" s="136"/>
      <c r="D50" s="133"/>
      <c r="E50" s="135"/>
      <c r="F50" s="135"/>
      <c r="G50" s="224"/>
      <c r="H50" s="232"/>
      <c r="I50" s="233"/>
      <c r="J50" s="227"/>
      <c r="K50" s="227"/>
      <c r="L50" s="128"/>
      <c r="M50" s="137"/>
      <c r="N50" s="425"/>
      <c r="O50" s="445"/>
      <c r="P50" s="102"/>
      <c r="Q50" s="132"/>
      <c r="R50" s="102"/>
      <c r="S50" s="253"/>
      <c r="T50" s="64" t="s">
        <v>44</v>
      </c>
      <c r="U50" s="64">
        <f>COUNTIF(D48:D67,"임")</f>
        <v>0</v>
      </c>
      <c r="V50" s="65">
        <f>COUNTIF(I48:I67,"임")</f>
        <v>0</v>
      </c>
      <c r="W50" s="64" t="s">
        <v>26</v>
      </c>
      <c r="X50" s="64">
        <f>SUMIF(D48:D67,"임",F48:F67)</f>
        <v>0</v>
      </c>
      <c r="Y50" s="65">
        <f>SUMIF(I48:I67,"임",K48:K67)</f>
        <v>0</v>
      </c>
      <c r="Z50" s="64">
        <f>COUNTIF(AJ48:AJ67,"임국")+COUNTIF(AJ48:AJ67,"임공")</f>
        <v>0</v>
      </c>
      <c r="AA50" s="65">
        <f>COUNTIF(AK48:AK67,"임국")+COUNTIF(AK48:AK67,"임공")</f>
        <v>0</v>
      </c>
      <c r="AB50" s="64" t="s">
        <v>26</v>
      </c>
      <c r="AC50" s="64">
        <f>SUMIF(AJ48:AJ67,"임국",F48:F67)+SUMIF(AJ48:AJ67,"임공",F48:F67)</f>
        <v>0</v>
      </c>
      <c r="AD50" s="65">
        <f>SUMIF(AK48:AK67,"임국",K48:K67)+SUMIF(AK48:AK67,"임공",K48:K67)</f>
        <v>0</v>
      </c>
      <c r="AE50" s="64">
        <f t="shared" si="9"/>
        <v>0</v>
      </c>
      <c r="AF50" s="65">
        <f t="shared" si="9"/>
        <v>0</v>
      </c>
      <c r="AG50" s="64" t="s">
        <v>26</v>
      </c>
      <c r="AH50" s="64">
        <f t="shared" si="10"/>
        <v>0</v>
      </c>
      <c r="AI50" s="65">
        <f t="shared" si="10"/>
        <v>0</v>
      </c>
      <c r="AJ50" s="64" t="str">
        <f t="shared" si="11"/>
        <v/>
      </c>
      <c r="AK50" s="64" t="str">
        <f t="shared" si="3"/>
        <v/>
      </c>
      <c r="AL50" s="66"/>
      <c r="AM50" s="66"/>
    </row>
    <row r="51" spans="1:39" s="67" customFormat="1" ht="24" customHeight="1" x14ac:dyDescent="0.15">
      <c r="A51" s="254">
        <v>44</v>
      </c>
      <c r="B51" s="222"/>
      <c r="C51" s="223"/>
      <c r="D51" s="222"/>
      <c r="E51" s="135"/>
      <c r="F51" s="135"/>
      <c r="G51" s="224"/>
      <c r="H51" s="225"/>
      <c r="I51" s="226"/>
      <c r="J51" s="227"/>
      <c r="K51" s="227"/>
      <c r="L51" s="128"/>
      <c r="M51" s="128"/>
      <c r="N51" s="425"/>
      <c r="O51" s="425"/>
      <c r="P51" s="132"/>
      <c r="Q51" s="132"/>
      <c r="R51" s="132"/>
      <c r="S51" s="253"/>
      <c r="T51" s="64" t="s">
        <v>45</v>
      </c>
      <c r="U51" s="64">
        <f>COUNTIF(D48:D67,"대")</f>
        <v>0</v>
      </c>
      <c r="V51" s="65">
        <f>COUNTIF(I48:I67,"대")</f>
        <v>0</v>
      </c>
      <c r="W51" s="64" t="s">
        <v>26</v>
      </c>
      <c r="X51" s="64">
        <f>SUMIF(D48:D67,"대",F48:F67)</f>
        <v>0</v>
      </c>
      <c r="Y51" s="65">
        <f>SUMIF(I48:I67,"대",K48:K67)</f>
        <v>0</v>
      </c>
      <c r="Z51" s="64">
        <f>COUNTIF(AJ48:AJ67,"대국")+COUNTIF(AJ48:AJ67,"대공")</f>
        <v>0</v>
      </c>
      <c r="AA51" s="65">
        <f>COUNTIF(AK48:AK67,"대국")+COUNTIF(AK48:AK67,"대공")</f>
        <v>0</v>
      </c>
      <c r="AB51" s="64" t="s">
        <v>26</v>
      </c>
      <c r="AC51" s="64">
        <f>SUMIF(AJ48:AJ67,"대국",F48:F67)+SUMIF(AJ48:AJ67,"대공",F48:F67)</f>
        <v>0</v>
      </c>
      <c r="AD51" s="65">
        <f>SUMIF(AK48:AK67,"대국",K48:K67)+SUMIF(AK48:AK67,"대공",K48:K67)</f>
        <v>0</v>
      </c>
      <c r="AE51" s="64">
        <f t="shared" si="9"/>
        <v>0</v>
      </c>
      <c r="AF51" s="65">
        <f t="shared" si="9"/>
        <v>0</v>
      </c>
      <c r="AG51" s="64" t="s">
        <v>26</v>
      </c>
      <c r="AH51" s="64">
        <f t="shared" si="10"/>
        <v>0</v>
      </c>
      <c r="AI51" s="65">
        <f t="shared" si="10"/>
        <v>0</v>
      </c>
      <c r="AJ51" s="64" t="str">
        <f t="shared" si="11"/>
        <v/>
      </c>
      <c r="AK51" s="64" t="str">
        <f t="shared" si="3"/>
        <v/>
      </c>
      <c r="AL51" s="66"/>
      <c r="AM51" s="66"/>
    </row>
    <row r="52" spans="1:39" s="67" customFormat="1" ht="24" customHeight="1" x14ac:dyDescent="0.15">
      <c r="A52" s="254">
        <v>45</v>
      </c>
      <c r="B52" s="222"/>
      <c r="C52" s="229"/>
      <c r="D52" s="235"/>
      <c r="E52" s="230"/>
      <c r="F52" s="230"/>
      <c r="G52" s="224"/>
      <c r="H52" s="228"/>
      <c r="I52" s="236"/>
      <c r="J52" s="231"/>
      <c r="K52" s="231"/>
      <c r="L52" s="123"/>
      <c r="M52" s="234"/>
      <c r="N52" s="430"/>
      <c r="O52" s="427"/>
      <c r="P52" s="255"/>
      <c r="Q52" s="252"/>
      <c r="R52" s="123"/>
      <c r="S52" s="206"/>
      <c r="T52" s="64" t="s">
        <v>31</v>
      </c>
      <c r="U52" s="64">
        <f>COUNTIF(D48:D67,"도")</f>
        <v>0</v>
      </c>
      <c r="V52" s="65">
        <f>COUNTIF(I48:I67,"도")</f>
        <v>0</v>
      </c>
      <c r="W52" s="64" t="s">
        <v>26</v>
      </c>
      <c r="X52" s="64">
        <f>SUMIF(D48:D67,"도",F48:F67)</f>
        <v>0</v>
      </c>
      <c r="Y52" s="65">
        <f>SUMIF(I48:I67,"도",K48:K67)</f>
        <v>0</v>
      </c>
      <c r="Z52" s="64">
        <f>COUNTIF(AJ48:AJ67,"도국")+COUNTIF(AJ48:AJ67,"도공")</f>
        <v>0</v>
      </c>
      <c r="AA52" s="65">
        <f>COUNTIF(AK48:AK67,"도국")+COUNTIF(AK48:AK67,"도공")</f>
        <v>0</v>
      </c>
      <c r="AB52" s="64" t="s">
        <v>26</v>
      </c>
      <c r="AC52" s="64">
        <f>SUMIF(AJ48:AJ67,"도국",F48:F67)+SUMIF(AJ48:AJ67,"도공",F48:F67)</f>
        <v>0</v>
      </c>
      <c r="AD52" s="65">
        <f>SUMIF(AK48:AK67,"도국",K48:K67)+SUMIF(AK48:AK67,"도공",K48:K67)</f>
        <v>0</v>
      </c>
      <c r="AE52" s="64">
        <f t="shared" si="9"/>
        <v>0</v>
      </c>
      <c r="AF52" s="65">
        <f t="shared" si="9"/>
        <v>0</v>
      </c>
      <c r="AG52" s="64" t="s">
        <v>26</v>
      </c>
      <c r="AH52" s="64">
        <f t="shared" si="10"/>
        <v>0</v>
      </c>
      <c r="AI52" s="65">
        <f t="shared" si="10"/>
        <v>0</v>
      </c>
      <c r="AJ52" s="64" t="str">
        <f t="shared" si="11"/>
        <v/>
      </c>
      <c r="AK52" s="64" t="str">
        <f t="shared" si="3"/>
        <v/>
      </c>
      <c r="AL52" s="66"/>
      <c r="AM52" s="66"/>
    </row>
    <row r="53" spans="1:39" s="67" customFormat="1" ht="24" customHeight="1" x14ac:dyDescent="0.15">
      <c r="A53" s="254">
        <v>46</v>
      </c>
      <c r="B53" s="222"/>
      <c r="C53" s="229"/>
      <c r="D53" s="235"/>
      <c r="E53" s="230"/>
      <c r="F53" s="230"/>
      <c r="G53" s="224"/>
      <c r="H53" s="228"/>
      <c r="I53" s="236"/>
      <c r="J53" s="231"/>
      <c r="K53" s="231"/>
      <c r="L53" s="123"/>
      <c r="M53" s="468"/>
      <c r="N53" s="430"/>
      <c r="O53" s="426"/>
      <c r="P53" s="255"/>
      <c r="Q53" s="255"/>
      <c r="R53" s="132"/>
      <c r="S53" s="206"/>
      <c r="T53" s="64" t="s">
        <v>32</v>
      </c>
      <c r="U53" s="68">
        <f>COUNTIF(D48:D67,"천")</f>
        <v>0</v>
      </c>
      <c r="V53" s="69">
        <f>COUNTIF(I48:I67,"천")</f>
        <v>0</v>
      </c>
      <c r="W53" s="64" t="s">
        <v>26</v>
      </c>
      <c r="X53" s="64">
        <f>SUMIF(D48:D67,"천",F48:F67)</f>
        <v>0</v>
      </c>
      <c r="Y53" s="65">
        <f>SUMIF(I48:I67,"천",K48:K67)</f>
        <v>0</v>
      </c>
      <c r="Z53" s="64">
        <f>COUNTIF(AJ48:AJ67,"천국")+COUNTIF(AJ48:AJ67,"천공")</f>
        <v>0</v>
      </c>
      <c r="AA53" s="65">
        <f>COUNTIF(AK48:AK67,"천국")+COUNTIF(AK48:AK67,"천공")</f>
        <v>0</v>
      </c>
      <c r="AB53" s="64" t="s">
        <v>26</v>
      </c>
      <c r="AC53" s="64">
        <f>SUMIF(AJ48:AJ67,"천국",F48:F67)+SUMIF(AJ48:AJ67,"천공",F48:F67)</f>
        <v>0</v>
      </c>
      <c r="AD53" s="65">
        <f>SUMIF(AK48:AK67,"천국",K48:K67)+SUMIF(AK48:AK67,"천공",K48:K67)</f>
        <v>0</v>
      </c>
      <c r="AE53" s="64">
        <f t="shared" si="9"/>
        <v>0</v>
      </c>
      <c r="AF53" s="65">
        <f t="shared" si="9"/>
        <v>0</v>
      </c>
      <c r="AG53" s="64" t="s">
        <v>26</v>
      </c>
      <c r="AH53" s="64">
        <f t="shared" si="10"/>
        <v>0</v>
      </c>
      <c r="AI53" s="65">
        <f t="shared" si="10"/>
        <v>0</v>
      </c>
      <c r="AJ53" s="64" t="str">
        <f t="shared" si="11"/>
        <v/>
      </c>
      <c r="AK53" s="64" t="str">
        <f t="shared" si="3"/>
        <v/>
      </c>
      <c r="AL53" s="66"/>
      <c r="AM53" s="66"/>
    </row>
    <row r="54" spans="1:39" s="67" customFormat="1" ht="24" customHeight="1" x14ac:dyDescent="0.15">
      <c r="A54" s="254">
        <v>47</v>
      </c>
      <c r="B54" s="222"/>
      <c r="C54" s="222"/>
      <c r="D54" s="222"/>
      <c r="E54" s="135"/>
      <c r="F54" s="135"/>
      <c r="G54" s="224"/>
      <c r="H54" s="226"/>
      <c r="I54" s="226"/>
      <c r="J54" s="227"/>
      <c r="K54" s="227"/>
      <c r="L54" s="128"/>
      <c r="M54" s="128"/>
      <c r="N54" s="425"/>
      <c r="O54" s="425"/>
      <c r="P54" s="132"/>
      <c r="Q54" s="132"/>
      <c r="R54" s="255"/>
      <c r="S54" s="206"/>
      <c r="T54" s="64" t="s">
        <v>33</v>
      </c>
      <c r="U54" s="64">
        <f>COUNTIF(D48:D67,"구")</f>
        <v>0</v>
      </c>
      <c r="V54" s="65">
        <f>COUNTIF(I48:I67,"구")</f>
        <v>0</v>
      </c>
      <c r="W54" s="64" t="s">
        <v>26</v>
      </c>
      <c r="X54" s="64">
        <f>SUMIF(D48:D67,"구",F48:F67)</f>
        <v>0</v>
      </c>
      <c r="Y54" s="65">
        <f>SUMIF(I48:I67,"구",K48:K67)</f>
        <v>0</v>
      </c>
      <c r="Z54" s="64">
        <f>COUNTIF(AJ48:AJ67,"구국")+COUNTIF(AJ48:AJ67,"구공")</f>
        <v>0</v>
      </c>
      <c r="AA54" s="65">
        <f>COUNTIF(AK48:AK67,"구국")+COUNTIF(AK48:AK67,"구공")</f>
        <v>0</v>
      </c>
      <c r="AB54" s="64" t="s">
        <v>26</v>
      </c>
      <c r="AC54" s="64">
        <f>SUMIF(AJ48:AJ67,"구국",F48:F67)+SUMIF(AJ48:AJ67,"구공",F48:F67)</f>
        <v>0</v>
      </c>
      <c r="AD54" s="65">
        <f>SUMIF(AK48:AK67,"구국",K48:K67)+SUMIF(AK48:AK67,"구공",K48:K67)</f>
        <v>0</v>
      </c>
      <c r="AE54" s="64">
        <f t="shared" si="9"/>
        <v>0</v>
      </c>
      <c r="AF54" s="65">
        <f t="shared" si="9"/>
        <v>0</v>
      </c>
      <c r="AG54" s="64" t="s">
        <v>26</v>
      </c>
      <c r="AH54" s="64">
        <f t="shared" si="10"/>
        <v>0</v>
      </c>
      <c r="AI54" s="65">
        <f t="shared" si="10"/>
        <v>0</v>
      </c>
      <c r="AJ54" s="64" t="str">
        <f t="shared" si="11"/>
        <v/>
      </c>
      <c r="AK54" s="64" t="str">
        <f t="shared" si="3"/>
        <v/>
      </c>
      <c r="AL54" s="66"/>
      <c r="AM54" s="66"/>
    </row>
    <row r="55" spans="1:39" s="67" customFormat="1" ht="24" customHeight="1" x14ac:dyDescent="0.15">
      <c r="A55" s="254">
        <v>48</v>
      </c>
      <c r="B55" s="222"/>
      <c r="C55" s="229"/>
      <c r="D55" s="235"/>
      <c r="E55" s="230"/>
      <c r="F55" s="230"/>
      <c r="G55" s="224"/>
      <c r="H55" s="228"/>
      <c r="I55" s="236"/>
      <c r="J55" s="231"/>
      <c r="K55" s="231"/>
      <c r="L55" s="128"/>
      <c r="M55" s="128"/>
      <c r="N55" s="425"/>
      <c r="O55" s="425"/>
      <c r="P55" s="123"/>
      <c r="Q55" s="123"/>
      <c r="R55" s="123"/>
      <c r="S55" s="253"/>
      <c r="T55" s="64" t="s">
        <v>34</v>
      </c>
      <c r="U55" s="64">
        <f>COUNTIF(D48:D67,"제")</f>
        <v>0</v>
      </c>
      <c r="V55" s="65">
        <f>COUNTIF(I48:I67,"제")</f>
        <v>0</v>
      </c>
      <c r="W55" s="64" t="s">
        <v>26</v>
      </c>
      <c r="X55" s="64">
        <f>SUMIF(D48:D67,"제",F48:F67)</f>
        <v>0</v>
      </c>
      <c r="Y55" s="65">
        <f>SUMIF(I48:I67,"제",K48:K67)</f>
        <v>0</v>
      </c>
      <c r="Z55" s="64">
        <f>COUNTIF(AJ48:AJ67,"제국")+COUNTIF(AJ48:AJ67,"제공")</f>
        <v>0</v>
      </c>
      <c r="AA55" s="65">
        <f>COUNTIF(AK48:AK67,"제국")+COUNTIF(AK48:AK67,"제공")</f>
        <v>0</v>
      </c>
      <c r="AB55" s="64" t="s">
        <v>26</v>
      </c>
      <c r="AC55" s="64">
        <f>SUMIF(AJ48:AJ67,"제국",F48:F67)+SUMIF(AJ48:AJ67,"제공",F48:F67)</f>
        <v>0</v>
      </c>
      <c r="AD55" s="65">
        <f>SUMIF(AK48:AK67,"제국",K48:K67)+SUMIF(AK48:AK67,"제공",K48:K67)</f>
        <v>0</v>
      </c>
      <c r="AE55" s="64">
        <f t="shared" si="9"/>
        <v>0</v>
      </c>
      <c r="AF55" s="65">
        <f t="shared" si="9"/>
        <v>0</v>
      </c>
      <c r="AG55" s="64" t="s">
        <v>26</v>
      </c>
      <c r="AH55" s="64">
        <f t="shared" si="10"/>
        <v>0</v>
      </c>
      <c r="AI55" s="65">
        <f t="shared" si="10"/>
        <v>0</v>
      </c>
      <c r="AJ55" s="64" t="str">
        <f t="shared" si="11"/>
        <v/>
      </c>
      <c r="AK55" s="64" t="str">
        <f t="shared" si="3"/>
        <v/>
      </c>
      <c r="AL55" s="66"/>
      <c r="AM55" s="66"/>
    </row>
    <row r="56" spans="1:39" s="67" customFormat="1" ht="24" customHeight="1" x14ac:dyDescent="0.15">
      <c r="A56" s="254">
        <v>49</v>
      </c>
      <c r="B56" s="222"/>
      <c r="C56" s="229"/>
      <c r="D56" s="235"/>
      <c r="E56" s="230"/>
      <c r="F56" s="230"/>
      <c r="G56" s="224"/>
      <c r="H56" s="228"/>
      <c r="I56" s="236"/>
      <c r="J56" s="231"/>
      <c r="K56" s="231"/>
      <c r="L56" s="128"/>
      <c r="M56" s="137"/>
      <c r="N56" s="425"/>
      <c r="O56" s="445"/>
      <c r="P56" s="123"/>
      <c r="Q56" s="123"/>
      <c r="R56" s="132"/>
      <c r="S56" s="206"/>
      <c r="T56" s="64" t="s">
        <v>46</v>
      </c>
      <c r="U56" s="64">
        <f>COUNTIF(D48:D67,"유")</f>
        <v>0</v>
      </c>
      <c r="V56" s="65">
        <f>COUNTIF(I48:I67,"유")</f>
        <v>0</v>
      </c>
      <c r="W56" s="64" t="s">
        <v>26</v>
      </c>
      <c r="X56" s="64">
        <f>SUMIF(D48:D67,"유",F48:F67)</f>
        <v>0</v>
      </c>
      <c r="Y56" s="65">
        <f>SUMIF(I48:I67,"유",K48:K67)</f>
        <v>0</v>
      </c>
      <c r="Z56" s="64">
        <f>COUNTIF(AJ48:AJ67,"유국")+COUNTIF(AJ48:AJ67,"유공")</f>
        <v>0</v>
      </c>
      <c r="AA56" s="65">
        <f>COUNTIF(AK48:AK67,"유국")+COUNTIF(AK48:AK67,"유공")</f>
        <v>0</v>
      </c>
      <c r="AB56" s="64" t="s">
        <v>26</v>
      </c>
      <c r="AC56" s="64">
        <f>SUMIF(AJ48:AJ67,"유국",F48:F67)+SUMIF(AJ48:AJ67,"유공",F48:F67)</f>
        <v>0</v>
      </c>
      <c r="AD56" s="65">
        <f>SUMIF(AK48:AK67,"유국",K48:K67)+SUMIF(AK48:AK67,"유공",K48:K67)</f>
        <v>0</v>
      </c>
      <c r="AE56" s="64">
        <f t="shared" si="9"/>
        <v>0</v>
      </c>
      <c r="AF56" s="65">
        <f t="shared" si="9"/>
        <v>0</v>
      </c>
      <c r="AG56" s="64" t="s">
        <v>26</v>
      </c>
      <c r="AH56" s="64">
        <f t="shared" si="10"/>
        <v>0</v>
      </c>
      <c r="AI56" s="65">
        <f t="shared" si="10"/>
        <v>0</v>
      </c>
      <c r="AJ56" s="64" t="str">
        <f t="shared" si="11"/>
        <v/>
      </c>
      <c r="AK56" s="64" t="str">
        <f t="shared" si="3"/>
        <v/>
      </c>
      <c r="AL56" s="66"/>
      <c r="AM56" s="66"/>
    </row>
    <row r="57" spans="1:39" s="67" customFormat="1" ht="24" customHeight="1" x14ac:dyDescent="0.15">
      <c r="A57" s="254">
        <v>50</v>
      </c>
      <c r="B57" s="222"/>
      <c r="C57" s="229"/>
      <c r="D57" s="235"/>
      <c r="E57" s="230"/>
      <c r="F57" s="230"/>
      <c r="G57" s="224"/>
      <c r="H57" s="228"/>
      <c r="I57" s="236"/>
      <c r="J57" s="231"/>
      <c r="K57" s="231"/>
      <c r="L57" s="128"/>
      <c r="M57" s="128"/>
      <c r="N57" s="425"/>
      <c r="O57" s="445"/>
      <c r="P57" s="123"/>
      <c r="Q57" s="123"/>
      <c r="R57" s="123"/>
      <c r="S57" s="206"/>
      <c r="T57" s="64" t="s">
        <v>47</v>
      </c>
      <c r="U57" s="64">
        <f>COUNTIF(D48:D67,"과")</f>
        <v>0</v>
      </c>
      <c r="V57" s="65">
        <f>COUNTIF(I48:I67,"과")</f>
        <v>0</v>
      </c>
      <c r="W57" s="64" t="s">
        <v>26</v>
      </c>
      <c r="X57" s="64">
        <f>SUMIF(D48:D67,"과",F48:F67)</f>
        <v>0</v>
      </c>
      <c r="Y57" s="65">
        <f>SUMIF(I48:I67,"과",K48:K67)</f>
        <v>0</v>
      </c>
      <c r="Z57" s="64">
        <f>COUNTIF(AJ48:AJ67,"과국")+COUNTIF(AJ48:AJ67,"과공")</f>
        <v>0</v>
      </c>
      <c r="AA57" s="65">
        <f>COUNTIF(AK48:AK67,"과국")+COUNTIF(AK48:AK67,"과공")</f>
        <v>0</v>
      </c>
      <c r="AB57" s="64" t="s">
        <v>26</v>
      </c>
      <c r="AC57" s="64">
        <f>SUMIF(AJ48:AJ67,"과국",F48:F67)+SUMIF(AJ48:AJ67,"과공",F48:F67)</f>
        <v>0</v>
      </c>
      <c r="AD57" s="65">
        <f>SUMIF(AK48:AK67,"과국",K48:K67)+SUMIF(AK48:AK67,"과공",K48:K67)</f>
        <v>0</v>
      </c>
      <c r="AE57" s="64">
        <f t="shared" si="9"/>
        <v>0</v>
      </c>
      <c r="AF57" s="65">
        <f t="shared" si="9"/>
        <v>0</v>
      </c>
      <c r="AG57" s="64" t="s">
        <v>26</v>
      </c>
      <c r="AH57" s="64">
        <f t="shared" si="10"/>
        <v>0</v>
      </c>
      <c r="AI57" s="65">
        <f t="shared" si="10"/>
        <v>0</v>
      </c>
      <c r="AJ57" s="64" t="str">
        <f t="shared" si="11"/>
        <v/>
      </c>
      <c r="AK57" s="64" t="str">
        <f t="shared" si="3"/>
        <v/>
      </c>
      <c r="AL57" s="66"/>
      <c r="AM57" s="66"/>
    </row>
    <row r="58" spans="1:39" s="67" customFormat="1" ht="24" customHeight="1" x14ac:dyDescent="0.15">
      <c r="A58" s="254">
        <v>51</v>
      </c>
      <c r="B58" s="222"/>
      <c r="C58" s="136"/>
      <c r="D58" s="222"/>
      <c r="E58" s="135"/>
      <c r="F58" s="135"/>
      <c r="G58" s="224"/>
      <c r="H58" s="232"/>
      <c r="I58" s="226"/>
      <c r="J58" s="227"/>
      <c r="K58" s="227"/>
      <c r="L58" s="128"/>
      <c r="M58" s="128"/>
      <c r="N58" s="425"/>
      <c r="O58" s="425"/>
      <c r="P58" s="132"/>
      <c r="Q58" s="132"/>
      <c r="R58" s="123"/>
      <c r="S58" s="206"/>
      <c r="T58" s="64" t="s">
        <v>36</v>
      </c>
      <c r="U58" s="64">
        <f>COUNTIF(D48:D67,"묘")</f>
        <v>0</v>
      </c>
      <c r="V58" s="65">
        <f>COUNTIF(I48:I67,"묘")</f>
        <v>0</v>
      </c>
      <c r="W58" s="64" t="s">
        <v>26</v>
      </c>
      <c r="X58" s="64">
        <f>SUMIF(D48:D67,"묘",F48:F67)</f>
        <v>0</v>
      </c>
      <c r="Y58" s="65">
        <f>SUMIF(I48:I67,"묘",K48:K67)</f>
        <v>0</v>
      </c>
      <c r="Z58" s="64">
        <f>COUNTIF(AJ48:AJ67,"묘국")+COUNTIF(AJ48:AJ67,"묘공")</f>
        <v>0</v>
      </c>
      <c r="AA58" s="65">
        <f>COUNTIF(AK48:AK67,"묘국")+COUNTIF(AK48:AK67,"묘공")</f>
        <v>0</v>
      </c>
      <c r="AB58" s="64" t="s">
        <v>26</v>
      </c>
      <c r="AC58" s="64">
        <f>SUMIF(AJ48:AJ67,"묘국",F48:F67)+SUMIF(AJ48:AJ67,"묘공",F48:F67)</f>
        <v>0</v>
      </c>
      <c r="AD58" s="65">
        <f>SUMIF(AK48:AK67,"묘국",K48:K67)+SUMIF(AK48:AK67,"묘공",K48:K67)</f>
        <v>0</v>
      </c>
      <c r="AE58" s="64">
        <f t="shared" si="9"/>
        <v>0</v>
      </c>
      <c r="AF58" s="65">
        <f t="shared" si="9"/>
        <v>0</v>
      </c>
      <c r="AG58" s="64" t="s">
        <v>26</v>
      </c>
      <c r="AH58" s="64">
        <f t="shared" si="10"/>
        <v>0</v>
      </c>
      <c r="AI58" s="65">
        <f t="shared" si="10"/>
        <v>0</v>
      </c>
      <c r="AJ58" s="64" t="str">
        <f t="shared" si="11"/>
        <v/>
      </c>
      <c r="AK58" s="64" t="str">
        <f t="shared" si="3"/>
        <v/>
      </c>
      <c r="AL58" s="66"/>
      <c r="AM58" s="66"/>
    </row>
    <row r="59" spans="1:39" s="67" customFormat="1" ht="24" customHeight="1" x14ac:dyDescent="0.15">
      <c r="A59" s="254">
        <v>52</v>
      </c>
      <c r="B59" s="222"/>
      <c r="C59" s="136"/>
      <c r="D59" s="222"/>
      <c r="E59" s="135"/>
      <c r="F59" s="135"/>
      <c r="G59" s="224"/>
      <c r="H59" s="232"/>
      <c r="I59" s="226"/>
      <c r="J59" s="227"/>
      <c r="K59" s="227"/>
      <c r="L59" s="123"/>
      <c r="M59" s="234"/>
      <c r="N59" s="430"/>
      <c r="O59" s="427"/>
      <c r="P59" s="132"/>
      <c r="Q59" s="132"/>
      <c r="R59" s="132"/>
      <c r="S59" s="206"/>
      <c r="T59" s="64" t="s">
        <v>39</v>
      </c>
      <c r="U59" s="64">
        <f>COUNTIF(D48:D67,"수")</f>
        <v>0</v>
      </c>
      <c r="V59" s="65">
        <f>COUNTIF(I48:I67,"수")</f>
        <v>0</v>
      </c>
      <c r="W59" s="64" t="s">
        <v>26</v>
      </c>
      <c r="X59" s="64">
        <f>SUMIF(D48:D67,"수",F48:F67)</f>
        <v>0</v>
      </c>
      <c r="Y59" s="65">
        <f>SUMIF(I48:I67,"수",K48:K67)</f>
        <v>0</v>
      </c>
      <c r="Z59" s="64">
        <f>COUNTIF(AJ48:AJ67,"수국")+COUNTIF(AJ48:AJ67,"수공")</f>
        <v>0</v>
      </c>
      <c r="AA59" s="65">
        <f>COUNTIF(AK48:AK67,"수국")+COUNTIF(AK48:AK67,"수공")</f>
        <v>0</v>
      </c>
      <c r="AB59" s="64" t="s">
        <v>26</v>
      </c>
      <c r="AC59" s="64">
        <f>SUMIF(AJ48:AJ67,"수국",F48:F67)+SUMIF(AJ48:AJ67,"수공",F48:F67)</f>
        <v>0</v>
      </c>
      <c r="AD59" s="65">
        <f>SUMIF(AK48:AK67,"수국",K48:K67)+SUMIF(AK48:AK67,"수공",K48:K67)</f>
        <v>0</v>
      </c>
      <c r="AE59" s="64">
        <f t="shared" si="9"/>
        <v>0</v>
      </c>
      <c r="AF59" s="65">
        <f t="shared" si="9"/>
        <v>0</v>
      </c>
      <c r="AG59" s="64" t="s">
        <v>26</v>
      </c>
      <c r="AH59" s="64">
        <f t="shared" si="10"/>
        <v>0</v>
      </c>
      <c r="AI59" s="65">
        <f t="shared" si="10"/>
        <v>0</v>
      </c>
      <c r="AJ59" s="64" t="str">
        <f t="shared" si="11"/>
        <v/>
      </c>
      <c r="AK59" s="64" t="str">
        <f t="shared" si="3"/>
        <v/>
      </c>
      <c r="AL59" s="66"/>
      <c r="AM59" s="66"/>
    </row>
    <row r="60" spans="1:39" s="67" customFormat="1" ht="24" customHeight="1" x14ac:dyDescent="0.15">
      <c r="A60" s="254">
        <v>53</v>
      </c>
      <c r="B60" s="222"/>
      <c r="C60" s="222"/>
      <c r="D60" s="222"/>
      <c r="E60" s="135"/>
      <c r="F60" s="135"/>
      <c r="G60" s="224"/>
      <c r="H60" s="226"/>
      <c r="I60" s="226"/>
      <c r="J60" s="227"/>
      <c r="K60" s="227"/>
      <c r="L60" s="128"/>
      <c r="M60" s="128"/>
      <c r="N60" s="425"/>
      <c r="O60" s="445"/>
      <c r="P60" s="132"/>
      <c r="Q60" s="132"/>
      <c r="R60" s="132"/>
      <c r="S60" s="206"/>
      <c r="T60" s="64" t="s">
        <v>35</v>
      </c>
      <c r="U60" s="64">
        <f>COUNTIF(D48:D67,"잡")</f>
        <v>0</v>
      </c>
      <c r="V60" s="65">
        <f>COUNTIF(I48:I67,"잡")</f>
        <v>0</v>
      </c>
      <c r="W60" s="64" t="s">
        <v>26</v>
      </c>
      <c r="X60" s="64">
        <f>SUMIF(D48:D67,"잡",F48:F67)</f>
        <v>0</v>
      </c>
      <c r="Y60" s="65">
        <f>SUMIF(I48:I67,"잡",K48:K67)</f>
        <v>0</v>
      </c>
      <c r="Z60" s="64">
        <f>COUNTIF(AJ48:AJ67,"잡국")+COUNTIF(AJ48:AJ67,"잡공")</f>
        <v>0</v>
      </c>
      <c r="AA60" s="65">
        <f>COUNTIF(AK48:AK67,"잡국")+COUNTIF(AK48:AK67,"잡공")</f>
        <v>0</v>
      </c>
      <c r="AB60" s="64" t="s">
        <v>26</v>
      </c>
      <c r="AC60" s="64">
        <f>SUMIF(AJ48:AJ67,"잡국",F48:F67)+SUMIF(AJ48:AJ67,"잡공",F48:F67)</f>
        <v>0</v>
      </c>
      <c r="AD60" s="65">
        <f>SUMIF(AK48:AK67,"잡국",K48:K67)+SUMIF(AK48:AK67,"잡공",K48:K67)</f>
        <v>0</v>
      </c>
      <c r="AE60" s="64">
        <f t="shared" si="9"/>
        <v>0</v>
      </c>
      <c r="AF60" s="65">
        <f t="shared" si="9"/>
        <v>0</v>
      </c>
      <c r="AG60" s="64" t="s">
        <v>26</v>
      </c>
      <c r="AH60" s="64">
        <f t="shared" si="10"/>
        <v>0</v>
      </c>
      <c r="AI60" s="65">
        <f t="shared" si="10"/>
        <v>0</v>
      </c>
      <c r="AJ60" s="64" t="str">
        <f t="shared" si="11"/>
        <v/>
      </c>
      <c r="AK60" s="64" t="str">
        <f t="shared" si="3"/>
        <v/>
      </c>
      <c r="AL60" s="66"/>
      <c r="AM60" s="66"/>
    </row>
    <row r="61" spans="1:39" s="67" customFormat="1" ht="24" customHeight="1" x14ac:dyDescent="0.15">
      <c r="A61" s="254">
        <v>54</v>
      </c>
      <c r="B61" s="222"/>
      <c r="C61" s="136"/>
      <c r="D61" s="222"/>
      <c r="E61" s="135"/>
      <c r="F61" s="135"/>
      <c r="G61" s="224"/>
      <c r="H61" s="232"/>
      <c r="I61" s="226"/>
      <c r="J61" s="227"/>
      <c r="K61" s="227"/>
      <c r="L61" s="128"/>
      <c r="M61" s="128"/>
      <c r="N61" s="425"/>
      <c r="O61" s="425"/>
      <c r="P61" s="132"/>
      <c r="Q61" s="132"/>
      <c r="R61" s="132"/>
      <c r="S61" s="206"/>
      <c r="T61" s="64" t="s">
        <v>195</v>
      </c>
      <c r="U61" s="64">
        <f>COUNTIF(D48:D67,"창")</f>
        <v>0</v>
      </c>
      <c r="V61" s="65">
        <f>COUNTIF(I48:I67,"창")</f>
        <v>0</v>
      </c>
      <c r="W61" s="64" t="s">
        <v>26</v>
      </c>
      <c r="X61" s="64">
        <f>SUMIF(D48:D67,"창",F48:F67)</f>
        <v>0</v>
      </c>
      <c r="Y61" s="65">
        <f>SUMIF(I48:I67,"창",K48:K67)</f>
        <v>0</v>
      </c>
      <c r="Z61" s="64">
        <f>COUNTIF(AJ48:AJ67,"창국")+COUNTIF(AJ48:AJ67,"창공")</f>
        <v>0</v>
      </c>
      <c r="AA61" s="65">
        <f>COUNTIF(AK48:AK67,"창국")+COUNTIF(AK48:AK67,"창공")</f>
        <v>0</v>
      </c>
      <c r="AB61" s="64" t="s">
        <v>26</v>
      </c>
      <c r="AC61" s="64">
        <f>SUMIF(AJ48:AJ67,"창국",F48:F67)+SUMIF(AJ48:AJ67,"창공",F48:F67)</f>
        <v>0</v>
      </c>
      <c r="AD61" s="65">
        <f>SUMIF(AK48:AK67,"창국",K48:K67)+SUMIF(AK48:AK67,"창공",K48:K67)</f>
        <v>0</v>
      </c>
      <c r="AE61" s="64">
        <f t="shared" si="9"/>
        <v>0</v>
      </c>
      <c r="AF61" s="65">
        <f t="shared" si="9"/>
        <v>0</v>
      </c>
      <c r="AG61" s="64" t="s">
        <v>26</v>
      </c>
      <c r="AH61" s="64">
        <f t="shared" si="10"/>
        <v>0</v>
      </c>
      <c r="AI61" s="65">
        <f t="shared" si="10"/>
        <v>0</v>
      </c>
      <c r="AJ61" s="64" t="str">
        <f t="shared" si="11"/>
        <v/>
      </c>
      <c r="AK61" s="64" t="str">
        <f t="shared" si="3"/>
        <v/>
      </c>
      <c r="AL61" s="66"/>
      <c r="AM61" s="66"/>
    </row>
    <row r="62" spans="1:39" s="67" customFormat="1" ht="24" customHeight="1" x14ac:dyDescent="0.15">
      <c r="A62" s="254">
        <v>55</v>
      </c>
      <c r="B62" s="222"/>
      <c r="C62" s="136"/>
      <c r="D62" s="222"/>
      <c r="E62" s="135"/>
      <c r="F62" s="135"/>
      <c r="G62" s="224"/>
      <c r="H62" s="232"/>
      <c r="I62" s="226"/>
      <c r="J62" s="227"/>
      <c r="K62" s="227"/>
      <c r="L62" s="128"/>
      <c r="M62" s="128"/>
      <c r="N62" s="425"/>
      <c r="O62" s="425"/>
      <c r="P62" s="132"/>
      <c r="Q62" s="132"/>
      <c r="R62" s="132"/>
      <c r="S62" s="264"/>
      <c r="T62" s="64" t="s">
        <v>194</v>
      </c>
      <c r="U62" s="64">
        <f>COUNTIF(D48:D67,"장")</f>
        <v>0</v>
      </c>
      <c r="V62" s="65">
        <f>COUNTIF(I48:I67,"장")</f>
        <v>0</v>
      </c>
      <c r="W62" s="64" t="s">
        <v>26</v>
      </c>
      <c r="X62" s="64">
        <f>SUMIF(D48:D67,"장",F48:F67)</f>
        <v>0</v>
      </c>
      <c r="Y62" s="65">
        <f>SUMIF(I48:I67,"장",K48:K67)</f>
        <v>0</v>
      </c>
      <c r="Z62" s="64">
        <f>COUNTIF(AJ48:AJ67,"장국")+COUNTIF(AJ48:AJ67,"장장")</f>
        <v>0</v>
      </c>
      <c r="AA62" s="65">
        <f>COUNTIF(AK48:AK67,"장국")+COUNTIF(AK48:AK67,"장장")</f>
        <v>0</v>
      </c>
      <c r="AB62" s="64" t="s">
        <v>26</v>
      </c>
      <c r="AC62" s="64">
        <f>SUMIF(AJ48:AJ67,"장국",F48:F67)+SUMIF(AJ48:AJ67,"장장",F48:F67)</f>
        <v>0</v>
      </c>
      <c r="AD62" s="65">
        <f>SUMIF(AK48:AK67,"장국",K48:K67)+SUMIF(AK48:AK67,"장장",K48:K67)</f>
        <v>0</v>
      </c>
      <c r="AE62" s="64">
        <f t="shared" si="9"/>
        <v>0</v>
      </c>
      <c r="AF62" s="65">
        <f t="shared" si="9"/>
        <v>0</v>
      </c>
      <c r="AG62" s="64" t="s">
        <v>26</v>
      </c>
      <c r="AH62" s="64">
        <f t="shared" si="10"/>
        <v>0</v>
      </c>
      <c r="AI62" s="65">
        <f t="shared" si="10"/>
        <v>0</v>
      </c>
      <c r="AJ62" s="64" t="str">
        <f t="shared" si="11"/>
        <v/>
      </c>
      <c r="AK62" s="64" t="str">
        <f t="shared" si="3"/>
        <v/>
      </c>
      <c r="AL62" s="66"/>
      <c r="AM62" s="66"/>
    </row>
    <row r="63" spans="1:39" s="67" customFormat="1" ht="24" customHeight="1" x14ac:dyDescent="0.15">
      <c r="A63" s="254">
        <v>56</v>
      </c>
      <c r="B63" s="222"/>
      <c r="C63" s="136"/>
      <c r="D63" s="235"/>
      <c r="E63" s="230"/>
      <c r="F63" s="230"/>
      <c r="G63" s="224"/>
      <c r="H63" s="232"/>
      <c r="I63" s="236"/>
      <c r="J63" s="231"/>
      <c r="K63" s="231"/>
      <c r="L63" s="128"/>
      <c r="M63" s="128"/>
      <c r="N63" s="425"/>
      <c r="O63" s="425"/>
      <c r="P63" s="123"/>
      <c r="Q63" s="123"/>
      <c r="R63" s="123"/>
      <c r="S63" s="206"/>
      <c r="T63" s="70" t="s">
        <v>193</v>
      </c>
      <c r="U63" s="64">
        <f>COUNTIF(D48:D67,"학")</f>
        <v>0</v>
      </c>
      <c r="V63" s="65">
        <f>COUNTIF(I48:I67,"학")</f>
        <v>0</v>
      </c>
      <c r="W63" s="64" t="s">
        <v>26</v>
      </c>
      <c r="X63" s="64">
        <f>SUMIF(D48:D67,"학",F48:F67)</f>
        <v>0</v>
      </c>
      <c r="Y63" s="65">
        <f>SUMIF(I48:I67,"학",K48:K67)</f>
        <v>0</v>
      </c>
      <c r="Z63" s="64">
        <f>COUNTIF(AJ48:AJ67,"학국")+COUNTIF(AJ48:AJ67,"학공")</f>
        <v>0</v>
      </c>
      <c r="AA63" s="65">
        <f>COUNTIF(AK48:AK67,"학국")+COUNTIF(AK48:AK67,"학공")</f>
        <v>0</v>
      </c>
      <c r="AB63" s="64" t="s">
        <v>26</v>
      </c>
      <c r="AC63" s="64">
        <f>SUMIF(AJ48:AJ67,"학국",F48:F67)+SUMIF(AJ48:AJ67,"학공",F48:F67)</f>
        <v>0</v>
      </c>
      <c r="AD63" s="65">
        <f>SUMIF(AK48:AK67,"학국",K48:K67)+SUMIF(AK48:AK67,"학공",K48:K67)</f>
        <v>0</v>
      </c>
      <c r="AE63" s="64">
        <f t="shared" si="9"/>
        <v>0</v>
      </c>
      <c r="AF63" s="65">
        <f t="shared" si="9"/>
        <v>0</v>
      </c>
      <c r="AG63" s="64" t="s">
        <v>26</v>
      </c>
      <c r="AH63" s="64">
        <f t="shared" si="10"/>
        <v>0</v>
      </c>
      <c r="AI63" s="65">
        <f t="shared" si="10"/>
        <v>0</v>
      </c>
      <c r="AJ63" s="64" t="str">
        <f t="shared" si="11"/>
        <v/>
      </c>
      <c r="AK63" s="64" t="str">
        <f t="shared" si="3"/>
        <v/>
      </c>
      <c r="AL63" s="66"/>
      <c r="AM63" s="66"/>
    </row>
    <row r="64" spans="1:39" s="67" customFormat="1" ht="24" customHeight="1" x14ac:dyDescent="0.15">
      <c r="A64" s="254">
        <v>57</v>
      </c>
      <c r="B64" s="222"/>
      <c r="C64" s="136"/>
      <c r="D64" s="133"/>
      <c r="E64" s="135"/>
      <c r="F64" s="135"/>
      <c r="G64" s="224"/>
      <c r="H64" s="232"/>
      <c r="I64" s="233"/>
      <c r="J64" s="227"/>
      <c r="K64" s="227"/>
      <c r="L64" s="128"/>
      <c r="M64" s="128"/>
      <c r="N64" s="425"/>
      <c r="O64" s="425"/>
      <c r="P64" s="132"/>
      <c r="Q64" s="132"/>
      <c r="R64" s="132"/>
      <c r="S64" s="206"/>
      <c r="T64" s="70" t="s">
        <v>79</v>
      </c>
      <c r="U64" s="64">
        <f>COUNTIF(D48:D67,"창")</f>
        <v>0</v>
      </c>
      <c r="V64" s="65">
        <f>COUNTIF(I48:I67,"창")</f>
        <v>0</v>
      </c>
      <c r="W64" s="64" t="s">
        <v>26</v>
      </c>
      <c r="X64" s="64">
        <f>SUMIF(D48:D67,"창",F48:F67)</f>
        <v>0</v>
      </c>
      <c r="Y64" s="65">
        <f>SUMIF(I48:I67,"창",K48:K67)</f>
        <v>0</v>
      </c>
      <c r="Z64" s="64">
        <f>COUNTIF(AJ48:AJ67,"창국")+COUNTIF(AJ48:AJ67,"창공")</f>
        <v>0</v>
      </c>
      <c r="AA64" s="65">
        <f>COUNTIF(AK48:AK67,"창국")+COUNTIF(AK48:AK67,"창공")</f>
        <v>0</v>
      </c>
      <c r="AB64" s="64" t="s">
        <v>26</v>
      </c>
      <c r="AC64" s="64">
        <f>SUMIF(AJ48:AJ67,"창국",F48:F67)+SUMIF(AJ48:AJ67,"창공",F48:F67)</f>
        <v>0</v>
      </c>
      <c r="AD64" s="65">
        <f>SUMIF(AK48:AK67,"창국",K48:K67)+SUMIF(AK48:AK67,"창공",K48:K67)</f>
        <v>0</v>
      </c>
      <c r="AE64" s="64">
        <f t="shared" si="9"/>
        <v>0</v>
      </c>
      <c r="AF64" s="65">
        <f t="shared" si="9"/>
        <v>0</v>
      </c>
      <c r="AG64" s="64" t="s">
        <v>26</v>
      </c>
      <c r="AH64" s="64">
        <f t="shared" si="10"/>
        <v>0</v>
      </c>
      <c r="AI64" s="65">
        <f t="shared" si="10"/>
        <v>0</v>
      </c>
      <c r="AJ64" s="64" t="str">
        <f t="shared" si="11"/>
        <v/>
      </c>
      <c r="AK64" s="64" t="str">
        <f t="shared" si="3"/>
        <v/>
      </c>
      <c r="AL64" s="66"/>
      <c r="AM64" s="66"/>
    </row>
    <row r="65" spans="1:39" s="67" customFormat="1" ht="24" customHeight="1" x14ac:dyDescent="0.15">
      <c r="A65" s="254">
        <v>58</v>
      </c>
      <c r="B65" s="222"/>
      <c r="C65" s="136"/>
      <c r="D65" s="133"/>
      <c r="E65" s="135"/>
      <c r="F65" s="135"/>
      <c r="G65" s="224"/>
      <c r="H65" s="232"/>
      <c r="I65" s="233"/>
      <c r="J65" s="227"/>
      <c r="K65" s="227"/>
      <c r="L65" s="128"/>
      <c r="M65" s="128"/>
      <c r="N65" s="425"/>
      <c r="O65" s="425"/>
      <c r="P65" s="102"/>
      <c r="Q65" s="132"/>
      <c r="R65" s="102"/>
      <c r="S65" s="206"/>
      <c r="T65" s="70"/>
      <c r="U65" s="70"/>
      <c r="V65" s="71"/>
      <c r="W65" s="70"/>
      <c r="X65" s="70"/>
      <c r="Y65" s="71"/>
      <c r="Z65" s="64"/>
      <c r="AA65" s="65"/>
      <c r="AB65" s="70"/>
      <c r="AC65" s="64"/>
      <c r="AD65" s="65"/>
      <c r="AE65" s="70"/>
      <c r="AF65" s="71"/>
      <c r="AG65" s="70"/>
      <c r="AH65" s="70"/>
      <c r="AI65" s="71"/>
      <c r="AJ65" s="64" t="str">
        <f t="shared" si="11"/>
        <v/>
      </c>
      <c r="AK65" s="64" t="str">
        <f t="shared" si="3"/>
        <v/>
      </c>
      <c r="AL65" s="66"/>
      <c r="AM65" s="66"/>
    </row>
    <row r="66" spans="1:39" s="67" customFormat="1" ht="24" customHeight="1" x14ac:dyDescent="0.15">
      <c r="A66" s="254">
        <v>59</v>
      </c>
      <c r="B66" s="222"/>
      <c r="C66" s="223"/>
      <c r="D66" s="222"/>
      <c r="E66" s="135"/>
      <c r="F66" s="135"/>
      <c r="G66" s="224"/>
      <c r="H66" s="225"/>
      <c r="I66" s="226"/>
      <c r="J66" s="227"/>
      <c r="K66" s="227"/>
      <c r="L66" s="128"/>
      <c r="M66" s="128"/>
      <c r="N66" s="425"/>
      <c r="O66" s="425"/>
      <c r="P66" s="102"/>
      <c r="Q66" s="102"/>
      <c r="R66" s="102"/>
      <c r="S66" s="206"/>
      <c r="T66" s="70"/>
      <c r="U66" s="70"/>
      <c r="V66" s="71"/>
      <c r="W66" s="70"/>
      <c r="X66" s="70"/>
      <c r="Y66" s="71"/>
      <c r="Z66" s="64"/>
      <c r="AA66" s="65"/>
      <c r="AB66" s="70"/>
      <c r="AC66" s="64"/>
      <c r="AD66" s="65"/>
      <c r="AE66" s="70"/>
      <c r="AF66" s="71"/>
      <c r="AG66" s="70"/>
      <c r="AH66" s="70"/>
      <c r="AI66" s="71"/>
      <c r="AJ66" s="64" t="str">
        <f t="shared" si="11"/>
        <v/>
      </c>
      <c r="AK66" s="64" t="str">
        <f t="shared" si="3"/>
        <v/>
      </c>
      <c r="AL66" s="66"/>
      <c r="AM66" s="66"/>
    </row>
    <row r="67" spans="1:39" s="67" customFormat="1" ht="24" customHeight="1" x14ac:dyDescent="0.15">
      <c r="A67" s="254">
        <v>60</v>
      </c>
      <c r="B67" s="222"/>
      <c r="C67" s="132"/>
      <c r="D67" s="161"/>
      <c r="E67" s="265"/>
      <c r="F67" s="265"/>
      <c r="G67" s="266"/>
      <c r="H67" s="267"/>
      <c r="I67" s="268"/>
      <c r="J67" s="269"/>
      <c r="K67" s="269"/>
      <c r="L67" s="128"/>
      <c r="M67" s="128"/>
      <c r="N67" s="425"/>
      <c r="O67" s="425"/>
      <c r="P67" s="132"/>
      <c r="Q67" s="102"/>
      <c r="R67" s="132"/>
      <c r="S67" s="206"/>
      <c r="T67" s="72" t="s">
        <v>37</v>
      </c>
      <c r="U67" s="72">
        <f>COUNTIF(D48:D67,"철")</f>
        <v>0</v>
      </c>
      <c r="V67" s="73">
        <f>COUNTIF(I48:I67,"철")</f>
        <v>0</v>
      </c>
      <c r="W67" s="72" t="s">
        <v>26</v>
      </c>
      <c r="X67" s="72">
        <f>SUMIF(D48:D67,"철",F48:F67)</f>
        <v>0</v>
      </c>
      <c r="Y67" s="73">
        <f>SUMIF(I48:I67,"철",K48:K67)</f>
        <v>0</v>
      </c>
      <c r="Z67" s="64">
        <f>COUNTIF(AJ48:AJ67,"철국")+COUNTIF(AJ48:AJ67,"철공")</f>
        <v>0</v>
      </c>
      <c r="AA67" s="65">
        <f>COUNTIF(AK48:AK67,"철국")+COUNTIF(AK48:AK67,"철공")</f>
        <v>0</v>
      </c>
      <c r="AB67" s="72" t="s">
        <v>26</v>
      </c>
      <c r="AC67" s="64">
        <f>SUMIF(AJ48:AJ67,"철국",F48:F67)+SUMIF(AJ48:AJ67,"철공",F48:F67)</f>
        <v>0</v>
      </c>
      <c r="AD67" s="65">
        <f>SUMIF(AK48:AK67,"철국",K48:K67)+SUMIF(AK48:AK67,"철공",K48:K67)</f>
        <v>0</v>
      </c>
      <c r="AE67" s="72"/>
      <c r="AF67" s="73"/>
      <c r="AG67" s="72"/>
      <c r="AH67" s="72"/>
      <c r="AI67" s="73"/>
      <c r="AJ67" s="64" t="str">
        <f t="shared" si="11"/>
        <v/>
      </c>
      <c r="AK67" s="64" t="str">
        <f t="shared" si="3"/>
        <v/>
      </c>
      <c r="AL67" s="66"/>
      <c r="AM67" s="66"/>
    </row>
    <row r="68" spans="1:39" s="57" customFormat="1" ht="24" customHeight="1" thickBot="1" x14ac:dyDescent="0.2">
      <c r="A68" s="147" t="s">
        <v>48</v>
      </c>
      <c r="B68" s="148"/>
      <c r="C68" s="148"/>
      <c r="D68" s="148"/>
      <c r="E68" s="148"/>
      <c r="F68" s="149">
        <f>SUM(F48:F67)</f>
        <v>0</v>
      </c>
      <c r="G68" s="238"/>
      <c r="H68" s="238"/>
      <c r="I68" s="239"/>
      <c r="J68" s="238"/>
      <c r="K68" s="240">
        <f>SUM(K48:K67)</f>
        <v>0</v>
      </c>
      <c r="L68" s="150"/>
      <c r="M68" s="150"/>
      <c r="N68" s="432"/>
      <c r="O68" s="432"/>
      <c r="P68" s="150"/>
      <c r="Q68" s="150"/>
      <c r="R68" s="150"/>
      <c r="S68" s="151"/>
      <c r="T68" s="62" t="s">
        <v>24</v>
      </c>
      <c r="U68" s="63">
        <f t="shared" ref="U68:AA68" si="12">SUM(U48:U67)</f>
        <v>0</v>
      </c>
      <c r="V68" s="63">
        <f t="shared" si="12"/>
        <v>0</v>
      </c>
      <c r="W68" s="63">
        <f t="shared" si="12"/>
        <v>0</v>
      </c>
      <c r="X68" s="63">
        <f t="shared" si="12"/>
        <v>0</v>
      </c>
      <c r="Y68" s="63">
        <f t="shared" si="12"/>
        <v>0</v>
      </c>
      <c r="Z68" s="63">
        <f t="shared" si="12"/>
        <v>0</v>
      </c>
      <c r="AA68" s="63">
        <f t="shared" si="12"/>
        <v>0</v>
      </c>
      <c r="AB68" s="63" t="s">
        <v>26</v>
      </c>
      <c r="AC68" s="63">
        <f>SUM(AC48:AC67)</f>
        <v>0</v>
      </c>
      <c r="AD68" s="63">
        <f>SUM(AD48:AD67)</f>
        <v>0</v>
      </c>
      <c r="AE68" s="63">
        <f>SUM(AE48:AE67)</f>
        <v>0</v>
      </c>
      <c r="AF68" s="63">
        <f>SUM(AF48:AF67)</f>
        <v>0</v>
      </c>
      <c r="AG68" s="63" t="s">
        <v>26</v>
      </c>
      <c r="AH68" s="63">
        <f>SUM(AH48:AH67)</f>
        <v>0</v>
      </c>
      <c r="AI68" s="63">
        <f>SUM(AI48:AI67)</f>
        <v>0</v>
      </c>
      <c r="AJ68" s="63"/>
      <c r="AK68" s="64" t="str">
        <f t="shared" si="3"/>
        <v/>
      </c>
    </row>
    <row r="69" spans="1:39" s="67" customFormat="1" ht="24" customHeight="1" x14ac:dyDescent="0.15">
      <c r="A69" s="260">
        <v>61</v>
      </c>
      <c r="B69" s="215"/>
      <c r="C69" s="216"/>
      <c r="D69" s="270"/>
      <c r="E69" s="217"/>
      <c r="F69" s="217"/>
      <c r="G69" s="244"/>
      <c r="H69" s="218"/>
      <c r="I69" s="271"/>
      <c r="J69" s="219"/>
      <c r="K69" s="219"/>
      <c r="L69" s="220"/>
      <c r="M69" s="475"/>
      <c r="N69" s="442"/>
      <c r="O69" s="424"/>
      <c r="P69" s="220"/>
      <c r="Q69" s="220"/>
      <c r="R69" s="220"/>
      <c r="S69" s="221"/>
      <c r="T69" s="64" t="s">
        <v>27</v>
      </c>
      <c r="U69" s="64">
        <f>COUNTIF(D69:D88,"전")</f>
        <v>0</v>
      </c>
      <c r="V69" s="65">
        <f>COUNTIF(I69:I88,"전")</f>
        <v>0</v>
      </c>
      <c r="W69" s="64" t="s">
        <v>26</v>
      </c>
      <c r="X69" s="64">
        <f>SUMIF(D69:D88,"전",F69:F88)</f>
        <v>0</v>
      </c>
      <c r="Y69" s="65">
        <f>SUMIF(I69:I88,"전",K69:K88)</f>
        <v>0</v>
      </c>
      <c r="Z69" s="64">
        <f>COUNTIF(AJ69:AJ88,"전국")+COUNTIF(AJ69:AJ88,"전공")</f>
        <v>0</v>
      </c>
      <c r="AA69" s="65">
        <f>COUNTIF(AK69:AK88,"전국")+COUNTIF(AK69:AK88,"전공")</f>
        <v>0</v>
      </c>
      <c r="AB69" s="64" t="s">
        <v>26</v>
      </c>
      <c r="AC69" s="64">
        <f>SUMIF(AJ69:AJ88,"전국",F69:F88)+SUMIF(AJ69:AJ88,"전공",F69:F88)</f>
        <v>0</v>
      </c>
      <c r="AD69" s="65">
        <f>SUMIF(AK69:AK88,"전국",K69:K88)+SUMIF(AK69:AK88,"전공",K69:K88)</f>
        <v>0</v>
      </c>
      <c r="AE69" s="64">
        <f t="shared" ref="AE69:AF85" si="13">U69-Z69</f>
        <v>0</v>
      </c>
      <c r="AF69" s="65">
        <f t="shared" si="13"/>
        <v>0</v>
      </c>
      <c r="AG69" s="64" t="s">
        <v>26</v>
      </c>
      <c r="AH69" s="64">
        <f t="shared" ref="AH69:AI85" si="14">X69-AC69</f>
        <v>0</v>
      </c>
      <c r="AI69" s="65">
        <f t="shared" si="14"/>
        <v>0</v>
      </c>
      <c r="AJ69" s="64" t="str">
        <f t="shared" ref="AJ69:AJ88" si="15">CONCATENATE(D69,L69)</f>
        <v/>
      </c>
      <c r="AK69" s="64" t="str">
        <f t="shared" si="3"/>
        <v/>
      </c>
    </row>
    <row r="70" spans="1:39" s="67" customFormat="1" ht="24" customHeight="1" x14ac:dyDescent="0.15">
      <c r="A70" s="254">
        <v>62</v>
      </c>
      <c r="B70" s="222"/>
      <c r="C70" s="223"/>
      <c r="D70" s="222"/>
      <c r="E70" s="135"/>
      <c r="F70" s="135"/>
      <c r="G70" s="224"/>
      <c r="H70" s="225"/>
      <c r="I70" s="226"/>
      <c r="J70" s="227"/>
      <c r="K70" s="227"/>
      <c r="L70" s="137"/>
      <c r="M70" s="137"/>
      <c r="N70" s="425"/>
      <c r="O70" s="428"/>
      <c r="P70" s="138"/>
      <c r="Q70" s="138"/>
      <c r="R70" s="102"/>
      <c r="S70" s="206"/>
      <c r="T70" s="64" t="s">
        <v>28</v>
      </c>
      <c r="U70" s="64">
        <f>COUNTIF(D69:D88,"답")</f>
        <v>0</v>
      </c>
      <c r="V70" s="65">
        <f>COUNTIF(I69:I88,"답")</f>
        <v>0</v>
      </c>
      <c r="W70" s="64" t="s">
        <v>26</v>
      </c>
      <c r="X70" s="64">
        <f>SUMIF(D69:D88,"답",F69:F88)</f>
        <v>0</v>
      </c>
      <c r="Y70" s="65">
        <f>SUMIF(I69:I88,"답",K69:K88)</f>
        <v>0</v>
      </c>
      <c r="Z70" s="64">
        <f>COUNTIF(AJ69:AJ88,"답국")+COUNTIF(AJ69:AJ88,"답공")</f>
        <v>0</v>
      </c>
      <c r="AA70" s="65">
        <f>COUNTIF(AK69:AK88,"답국")+COUNTIF(AK69:AK88,"답공")</f>
        <v>0</v>
      </c>
      <c r="AB70" s="64" t="s">
        <v>26</v>
      </c>
      <c r="AC70" s="64">
        <f>SUMIF(AJ69:AJ88,"답국",F69:F88)+SUMIF(AJ69:AJ88,"답공",F69:F88)</f>
        <v>0</v>
      </c>
      <c r="AD70" s="65">
        <f>SUMIF(AK69:AK88,"답국",K69:K88)+SUMIF(AK69:AK88,"답공",K69:K88)</f>
        <v>0</v>
      </c>
      <c r="AE70" s="64">
        <f t="shared" si="13"/>
        <v>0</v>
      </c>
      <c r="AF70" s="65">
        <f t="shared" si="13"/>
        <v>0</v>
      </c>
      <c r="AG70" s="64" t="s">
        <v>26</v>
      </c>
      <c r="AH70" s="64">
        <f t="shared" si="14"/>
        <v>0</v>
      </c>
      <c r="AI70" s="65">
        <f t="shared" si="14"/>
        <v>0</v>
      </c>
      <c r="AJ70" s="64" t="str">
        <f t="shared" si="15"/>
        <v/>
      </c>
      <c r="AK70" s="64" t="str">
        <f t="shared" si="3"/>
        <v/>
      </c>
      <c r="AM70" s="66"/>
    </row>
    <row r="71" spans="1:39" s="67" customFormat="1" ht="24" customHeight="1" x14ac:dyDescent="0.15">
      <c r="A71" s="273" t="s">
        <v>11</v>
      </c>
      <c r="B71" s="222"/>
      <c r="C71" s="257"/>
      <c r="D71" s="222"/>
      <c r="E71" s="135"/>
      <c r="F71" s="135"/>
      <c r="G71" s="224"/>
      <c r="H71" s="377"/>
      <c r="I71" s="226"/>
      <c r="J71" s="227"/>
      <c r="K71" s="227"/>
      <c r="L71" s="128"/>
      <c r="M71" s="137"/>
      <c r="N71" s="425"/>
      <c r="O71" s="428"/>
      <c r="P71" s="102"/>
      <c r="Q71" s="132"/>
      <c r="R71" s="102"/>
      <c r="S71" s="264"/>
      <c r="T71" s="64" t="s">
        <v>44</v>
      </c>
      <c r="U71" s="64">
        <f>COUNTIF(D69:D88,"임")</f>
        <v>0</v>
      </c>
      <c r="V71" s="65">
        <f>COUNTIF(I69:I88,"임")</f>
        <v>0</v>
      </c>
      <c r="W71" s="64" t="s">
        <v>26</v>
      </c>
      <c r="X71" s="64">
        <f>SUMIF(D69:D88,"임",F69:F88)</f>
        <v>0</v>
      </c>
      <c r="Y71" s="65">
        <f>SUMIF(I69:I88,"임",K69:K88)</f>
        <v>0</v>
      </c>
      <c r="Z71" s="64">
        <f>COUNTIF(AJ69:AJ88,"임국")+COUNTIF(AJ69:AJ88,"임공")</f>
        <v>0</v>
      </c>
      <c r="AA71" s="65">
        <f>COUNTIF(AK69:AK88,"임국")+COUNTIF(AK69:AK88,"임공")</f>
        <v>0</v>
      </c>
      <c r="AB71" s="64" t="s">
        <v>26</v>
      </c>
      <c r="AC71" s="64">
        <f>SUMIF(AJ69:AJ88,"임국",F69:F88)+SUMIF(AJ69:AJ88,"임공",F69:F88)</f>
        <v>0</v>
      </c>
      <c r="AD71" s="65">
        <f>SUMIF(AK69:AK88,"임국",K69:K88)+SUMIF(AK69:AK88,"임공",K69:K88)</f>
        <v>0</v>
      </c>
      <c r="AE71" s="64">
        <f t="shared" si="13"/>
        <v>0</v>
      </c>
      <c r="AF71" s="65">
        <f t="shared" si="13"/>
        <v>0</v>
      </c>
      <c r="AG71" s="64" t="s">
        <v>26</v>
      </c>
      <c r="AH71" s="64">
        <f t="shared" si="14"/>
        <v>0</v>
      </c>
      <c r="AI71" s="65">
        <f t="shared" si="14"/>
        <v>0</v>
      </c>
      <c r="AJ71" s="64" t="str">
        <f t="shared" si="15"/>
        <v/>
      </c>
      <c r="AK71" s="64" t="str">
        <f t="shared" ref="AK71:AK134" si="16">CONCATENATE(I71,N71)</f>
        <v/>
      </c>
      <c r="AL71" s="66"/>
      <c r="AM71" s="66"/>
    </row>
    <row r="72" spans="1:39" s="67" customFormat="1" ht="24" customHeight="1" x14ac:dyDescent="0.15">
      <c r="A72" s="254">
        <v>64</v>
      </c>
      <c r="B72" s="222"/>
      <c r="C72" s="229"/>
      <c r="D72" s="235"/>
      <c r="E72" s="230"/>
      <c r="F72" s="230"/>
      <c r="G72" s="224"/>
      <c r="H72" s="228"/>
      <c r="I72" s="236"/>
      <c r="J72" s="231"/>
      <c r="K72" s="231"/>
      <c r="L72" s="128"/>
      <c r="M72" s="137"/>
      <c r="N72" s="425"/>
      <c r="O72" s="428"/>
      <c r="P72" s="123"/>
      <c r="Q72" s="123"/>
      <c r="R72" s="123"/>
      <c r="S72" s="253"/>
      <c r="T72" s="64" t="s">
        <v>45</v>
      </c>
      <c r="U72" s="64">
        <f>COUNTIF(D69:D88,"대")</f>
        <v>0</v>
      </c>
      <c r="V72" s="65">
        <f>COUNTIF(I69:I88,"대")</f>
        <v>0</v>
      </c>
      <c r="W72" s="64" t="s">
        <v>26</v>
      </c>
      <c r="X72" s="64">
        <f>SUMIF(D69:D88,"대",F69:F88)</f>
        <v>0</v>
      </c>
      <c r="Y72" s="65">
        <f>SUMIF(I69:I88,"대",K69:K88)</f>
        <v>0</v>
      </c>
      <c r="Z72" s="64">
        <f>COUNTIF(AJ69:AJ88,"대국")+COUNTIF(AJ69:AJ88,"대공")</f>
        <v>0</v>
      </c>
      <c r="AA72" s="65">
        <f>COUNTIF(AK69:AK88,"대국")+COUNTIF(AK69:AK88,"대공")</f>
        <v>0</v>
      </c>
      <c r="AB72" s="64" t="s">
        <v>26</v>
      </c>
      <c r="AC72" s="64">
        <f>SUMIF(AJ69:AJ88,"대국",F69:F88)+SUMIF(AJ69:AJ88,"대공",F69:F88)</f>
        <v>0</v>
      </c>
      <c r="AD72" s="65">
        <f>SUMIF(AK69:AK88,"대국",K69:K88)+SUMIF(AK69:AK88,"대공",K69:K88)</f>
        <v>0</v>
      </c>
      <c r="AE72" s="64">
        <f t="shared" si="13"/>
        <v>0</v>
      </c>
      <c r="AF72" s="65">
        <f t="shared" si="13"/>
        <v>0</v>
      </c>
      <c r="AG72" s="64" t="s">
        <v>26</v>
      </c>
      <c r="AH72" s="64">
        <f t="shared" si="14"/>
        <v>0</v>
      </c>
      <c r="AI72" s="65">
        <f t="shared" si="14"/>
        <v>0</v>
      </c>
      <c r="AJ72" s="64" t="str">
        <f t="shared" si="15"/>
        <v/>
      </c>
      <c r="AK72" s="64" t="str">
        <f t="shared" si="16"/>
        <v/>
      </c>
      <c r="AL72" s="66"/>
      <c r="AM72" s="66"/>
    </row>
    <row r="73" spans="1:39" s="67" customFormat="1" ht="24" customHeight="1" x14ac:dyDescent="0.15">
      <c r="A73" s="254">
        <v>65</v>
      </c>
      <c r="B73" s="222"/>
      <c r="C73" s="229"/>
      <c r="D73" s="235"/>
      <c r="E73" s="230"/>
      <c r="F73" s="230"/>
      <c r="G73" s="224"/>
      <c r="H73" s="228"/>
      <c r="I73" s="236"/>
      <c r="J73" s="231"/>
      <c r="K73" s="231"/>
      <c r="L73" s="255"/>
      <c r="M73" s="468"/>
      <c r="N73" s="444"/>
      <c r="O73" s="426"/>
      <c r="P73" s="132"/>
      <c r="Q73" s="132"/>
      <c r="R73" s="132"/>
      <c r="S73" s="253"/>
      <c r="T73" s="64" t="s">
        <v>31</v>
      </c>
      <c r="U73" s="64">
        <f>COUNTIF(D69:D88,"도")</f>
        <v>0</v>
      </c>
      <c r="V73" s="65">
        <f>COUNTIF(I69:I88,"도")</f>
        <v>0</v>
      </c>
      <c r="W73" s="64" t="s">
        <v>26</v>
      </c>
      <c r="X73" s="64">
        <f>SUMIF(D69:D88,"도",F69:F88)</f>
        <v>0</v>
      </c>
      <c r="Y73" s="65">
        <f>SUMIF(I69:I88,"도",K69:K88)</f>
        <v>0</v>
      </c>
      <c r="Z73" s="64">
        <f>COUNTIF(AJ69:AJ88,"도국")+COUNTIF(AJ69:AJ88,"도공")</f>
        <v>0</v>
      </c>
      <c r="AA73" s="65">
        <f>COUNTIF(AK69:AK88,"도국")+COUNTIF(AK69:AK88,"도공")</f>
        <v>0</v>
      </c>
      <c r="AB73" s="64" t="s">
        <v>26</v>
      </c>
      <c r="AC73" s="64">
        <f>SUMIF(AJ69:AJ88,"도국",F69:F88)+SUMIF(AJ69:AJ88,"도공",F69:F88)</f>
        <v>0</v>
      </c>
      <c r="AD73" s="65">
        <f>SUMIF(AK69:AK88,"도국",K69:K88)+SUMIF(AK69:AK88,"도공",K69:K88)</f>
        <v>0</v>
      </c>
      <c r="AE73" s="64">
        <f t="shared" si="13"/>
        <v>0</v>
      </c>
      <c r="AF73" s="65">
        <f t="shared" si="13"/>
        <v>0</v>
      </c>
      <c r="AG73" s="64" t="s">
        <v>26</v>
      </c>
      <c r="AH73" s="64">
        <f t="shared" si="14"/>
        <v>0</v>
      </c>
      <c r="AI73" s="65">
        <f t="shared" si="14"/>
        <v>0</v>
      </c>
      <c r="AJ73" s="64" t="str">
        <f t="shared" si="15"/>
        <v/>
      </c>
      <c r="AK73" s="64" t="str">
        <f t="shared" si="16"/>
        <v/>
      </c>
      <c r="AL73" s="66"/>
      <c r="AM73" s="66"/>
    </row>
    <row r="74" spans="1:39" s="67" customFormat="1" ht="24" customHeight="1" x14ac:dyDescent="0.15">
      <c r="A74" s="273" t="s">
        <v>12</v>
      </c>
      <c r="B74" s="222"/>
      <c r="C74" s="222"/>
      <c r="D74" s="222"/>
      <c r="E74" s="135"/>
      <c r="F74" s="135"/>
      <c r="G74" s="224"/>
      <c r="H74" s="226"/>
      <c r="I74" s="226"/>
      <c r="J74" s="227"/>
      <c r="K74" s="227"/>
      <c r="L74" s="255"/>
      <c r="M74" s="468"/>
      <c r="N74" s="444"/>
      <c r="O74" s="426"/>
      <c r="P74" s="132"/>
      <c r="Q74" s="132"/>
      <c r="R74" s="132"/>
      <c r="S74" s="253"/>
      <c r="T74" s="64" t="s">
        <v>32</v>
      </c>
      <c r="U74" s="68">
        <f>COUNTIF(D69:D88,"천")</f>
        <v>0</v>
      </c>
      <c r="V74" s="69">
        <f>COUNTIF(I69:I88,"천")</f>
        <v>0</v>
      </c>
      <c r="W74" s="64" t="s">
        <v>26</v>
      </c>
      <c r="X74" s="64">
        <f>SUMIF(D69:D88,"천",F69:F88)</f>
        <v>0</v>
      </c>
      <c r="Y74" s="65">
        <f>SUMIF(I69:I88,"천",K69:K88)</f>
        <v>0</v>
      </c>
      <c r="Z74" s="64">
        <f>COUNTIF(AJ69:AJ88,"천국")+COUNTIF(AJ69:AJ88,"천공")</f>
        <v>0</v>
      </c>
      <c r="AA74" s="65">
        <f>COUNTIF(AK69:AK88,"천국")+COUNTIF(AK69:AK88,"천공")</f>
        <v>0</v>
      </c>
      <c r="AB74" s="64" t="s">
        <v>26</v>
      </c>
      <c r="AC74" s="64">
        <f>SUMIF(AJ69:AJ88,"천국",F69:F88)+SUMIF(AJ69:AJ88,"천공",F69:F88)</f>
        <v>0</v>
      </c>
      <c r="AD74" s="65">
        <f>SUMIF(AK69:AK88,"천국",K69:K88)+SUMIF(AK69:AK88,"천공",K69:K88)</f>
        <v>0</v>
      </c>
      <c r="AE74" s="64">
        <f t="shared" si="13"/>
        <v>0</v>
      </c>
      <c r="AF74" s="65">
        <f t="shared" si="13"/>
        <v>0</v>
      </c>
      <c r="AG74" s="64" t="s">
        <v>26</v>
      </c>
      <c r="AH74" s="64">
        <f t="shared" si="14"/>
        <v>0</v>
      </c>
      <c r="AI74" s="65">
        <f t="shared" si="14"/>
        <v>0</v>
      </c>
      <c r="AJ74" s="64" t="str">
        <f t="shared" si="15"/>
        <v/>
      </c>
      <c r="AK74" s="64" t="str">
        <f t="shared" si="16"/>
        <v/>
      </c>
      <c r="AL74" s="66"/>
      <c r="AM74" s="66"/>
    </row>
    <row r="75" spans="1:39" s="67" customFormat="1" ht="24" customHeight="1" x14ac:dyDescent="0.15">
      <c r="A75" s="254">
        <v>67</v>
      </c>
      <c r="B75" s="222"/>
      <c r="C75" s="136"/>
      <c r="D75" s="133"/>
      <c r="E75" s="135"/>
      <c r="F75" s="135"/>
      <c r="G75" s="224"/>
      <c r="H75" s="232"/>
      <c r="I75" s="233"/>
      <c r="J75" s="227"/>
      <c r="K75" s="227"/>
      <c r="L75" s="128"/>
      <c r="M75" s="137"/>
      <c r="N75" s="425"/>
      <c r="O75" s="428"/>
      <c r="P75" s="132"/>
      <c r="Q75" s="102"/>
      <c r="R75" s="132"/>
      <c r="S75" s="206"/>
      <c r="T75" s="64" t="s">
        <v>33</v>
      </c>
      <c r="U75" s="64">
        <f>COUNTIF(D69:D88,"구")</f>
        <v>0</v>
      </c>
      <c r="V75" s="65">
        <f>COUNTIF(I69:I88,"구")</f>
        <v>0</v>
      </c>
      <c r="W75" s="64" t="s">
        <v>26</v>
      </c>
      <c r="X75" s="64">
        <f>SUMIF(D69:D88,"구",F69:F88)</f>
        <v>0</v>
      </c>
      <c r="Y75" s="65">
        <f>SUMIF(I69:I88,"구",K69:K88)</f>
        <v>0</v>
      </c>
      <c r="Z75" s="64">
        <f>COUNTIF(AJ69:AJ88,"구국")+COUNTIF(AJ69:AJ88,"구공")</f>
        <v>0</v>
      </c>
      <c r="AA75" s="65">
        <f>COUNTIF(AK69:AK88,"구국")+COUNTIF(AK69:AK88,"구공")</f>
        <v>0</v>
      </c>
      <c r="AB75" s="64" t="s">
        <v>26</v>
      </c>
      <c r="AC75" s="64">
        <f>SUMIF(AJ69:AJ88,"구국",F69:F88)+SUMIF(AJ69:AJ88,"구공",F69:F88)</f>
        <v>0</v>
      </c>
      <c r="AD75" s="65">
        <f>SUMIF(AK69:AK88,"구국",K69:K88)+SUMIF(AK69:AK88,"구공",K69:K88)</f>
        <v>0</v>
      </c>
      <c r="AE75" s="64">
        <f t="shared" si="13"/>
        <v>0</v>
      </c>
      <c r="AF75" s="65">
        <f t="shared" si="13"/>
        <v>0</v>
      </c>
      <c r="AG75" s="64" t="s">
        <v>26</v>
      </c>
      <c r="AH75" s="64">
        <f t="shared" si="14"/>
        <v>0</v>
      </c>
      <c r="AI75" s="65">
        <f t="shared" si="14"/>
        <v>0</v>
      </c>
      <c r="AJ75" s="64" t="str">
        <f t="shared" si="15"/>
        <v/>
      </c>
      <c r="AK75" s="64" t="str">
        <f t="shared" si="16"/>
        <v/>
      </c>
      <c r="AL75" s="66"/>
      <c r="AM75" s="66"/>
    </row>
    <row r="76" spans="1:39" s="67" customFormat="1" ht="24" customHeight="1" x14ac:dyDescent="0.15">
      <c r="A76" s="254">
        <v>68</v>
      </c>
      <c r="B76" s="222"/>
      <c r="C76" s="136"/>
      <c r="D76" s="133"/>
      <c r="E76" s="135"/>
      <c r="F76" s="135"/>
      <c r="G76" s="224"/>
      <c r="H76" s="232"/>
      <c r="I76" s="233"/>
      <c r="J76" s="227"/>
      <c r="K76" s="227"/>
      <c r="L76" s="128"/>
      <c r="M76" s="137"/>
      <c r="N76" s="425"/>
      <c r="O76" s="428"/>
      <c r="P76" s="132"/>
      <c r="Q76" s="138"/>
      <c r="R76" s="132"/>
      <c r="S76" s="206"/>
      <c r="T76" s="64" t="s">
        <v>34</v>
      </c>
      <c r="U76" s="64">
        <f>COUNTIF(D69:D88,"제")</f>
        <v>0</v>
      </c>
      <c r="V76" s="65">
        <f>COUNTIF(I69:I88,"제")</f>
        <v>0</v>
      </c>
      <c r="W76" s="64" t="s">
        <v>26</v>
      </c>
      <c r="X76" s="64">
        <f>SUMIF(D69:D88,"제",F69:F88)</f>
        <v>0</v>
      </c>
      <c r="Y76" s="65">
        <f>SUMIF(I69:I88,"제",K69:K88)</f>
        <v>0</v>
      </c>
      <c r="Z76" s="64">
        <f>COUNTIF(AJ69:AJ88,"제국")+COUNTIF(AJ69:AJ88,"제공")</f>
        <v>0</v>
      </c>
      <c r="AA76" s="65">
        <f>COUNTIF(AK69:AK88,"제국")+COUNTIF(AK69:AK88,"제공")</f>
        <v>0</v>
      </c>
      <c r="AB76" s="64" t="s">
        <v>26</v>
      </c>
      <c r="AC76" s="64">
        <f>SUMIF(AJ69:AJ88,"제국",F69:F88)+SUMIF(AJ69:AJ88,"제공",F69:F88)</f>
        <v>0</v>
      </c>
      <c r="AD76" s="65">
        <f>SUMIF(AK69:AK88,"제국",K69:K88)+SUMIF(AK69:AK88,"제공",K69:K88)</f>
        <v>0</v>
      </c>
      <c r="AE76" s="64">
        <f t="shared" si="13"/>
        <v>0</v>
      </c>
      <c r="AF76" s="65">
        <f t="shared" si="13"/>
        <v>0</v>
      </c>
      <c r="AG76" s="64" t="s">
        <v>26</v>
      </c>
      <c r="AH76" s="64">
        <f t="shared" si="14"/>
        <v>0</v>
      </c>
      <c r="AI76" s="65">
        <f t="shared" si="14"/>
        <v>0</v>
      </c>
      <c r="AJ76" s="64" t="str">
        <f t="shared" si="15"/>
        <v/>
      </c>
      <c r="AK76" s="64" t="str">
        <f t="shared" si="16"/>
        <v/>
      </c>
      <c r="AL76" s="66"/>
      <c r="AM76" s="66"/>
    </row>
    <row r="77" spans="1:39" s="67" customFormat="1" ht="24" customHeight="1" x14ac:dyDescent="0.15">
      <c r="A77" s="273" t="s">
        <v>13</v>
      </c>
      <c r="B77" s="222"/>
      <c r="C77" s="132"/>
      <c r="D77" s="274"/>
      <c r="E77" s="265"/>
      <c r="F77" s="265"/>
      <c r="G77" s="266"/>
      <c r="H77" s="267"/>
      <c r="I77" s="275"/>
      <c r="J77" s="269"/>
      <c r="K77" s="269"/>
      <c r="L77" s="128"/>
      <c r="M77" s="155"/>
      <c r="N77" s="425"/>
      <c r="O77" s="439"/>
      <c r="P77" s="132"/>
      <c r="Q77" s="132"/>
      <c r="R77" s="132"/>
      <c r="S77" s="206"/>
      <c r="T77" s="64" t="s">
        <v>46</v>
      </c>
      <c r="U77" s="64">
        <f>COUNTIF(D69:D88,"유")</f>
        <v>0</v>
      </c>
      <c r="V77" s="65">
        <f>COUNTIF(I69:I88,"유")</f>
        <v>0</v>
      </c>
      <c r="W77" s="64" t="s">
        <v>26</v>
      </c>
      <c r="X77" s="64">
        <f>SUMIF(D69:D88,"유",F69:F88)</f>
        <v>0</v>
      </c>
      <c r="Y77" s="65">
        <f>SUMIF(I69:I88,"유",K69:K88)</f>
        <v>0</v>
      </c>
      <c r="Z77" s="64">
        <f>COUNTIF(AJ69:AJ88,"유국")+COUNTIF(AJ69:AJ88,"유공")</f>
        <v>0</v>
      </c>
      <c r="AA77" s="65">
        <f>COUNTIF(AK69:AK88,"유국")+COUNTIF(AK69:AK88,"유공")</f>
        <v>0</v>
      </c>
      <c r="AB77" s="64" t="s">
        <v>26</v>
      </c>
      <c r="AC77" s="64">
        <f>SUMIF(AJ69:AJ88,"유국",F69:F88)+SUMIF(AJ69:AJ88,"유공",F69:F88)</f>
        <v>0</v>
      </c>
      <c r="AD77" s="65">
        <f>SUMIF(AK69:AK88,"유국",K69:K88)+SUMIF(AK69:AK88,"유공",K69:K88)</f>
        <v>0</v>
      </c>
      <c r="AE77" s="64">
        <f t="shared" si="13"/>
        <v>0</v>
      </c>
      <c r="AF77" s="65">
        <f t="shared" si="13"/>
        <v>0</v>
      </c>
      <c r="AG77" s="64" t="s">
        <v>26</v>
      </c>
      <c r="AH77" s="64">
        <f t="shared" si="14"/>
        <v>0</v>
      </c>
      <c r="AI77" s="65">
        <f t="shared" si="14"/>
        <v>0</v>
      </c>
      <c r="AJ77" s="64" t="str">
        <f t="shared" si="15"/>
        <v/>
      </c>
      <c r="AK77" s="64" t="str">
        <f t="shared" si="16"/>
        <v/>
      </c>
      <c r="AL77" s="66"/>
      <c r="AM77" s="66"/>
    </row>
    <row r="78" spans="1:39" s="67" customFormat="1" ht="24" customHeight="1" x14ac:dyDescent="0.15">
      <c r="A78" s="254">
        <v>70</v>
      </c>
      <c r="B78" s="222"/>
      <c r="C78" s="229"/>
      <c r="D78" s="235"/>
      <c r="E78" s="230"/>
      <c r="F78" s="230"/>
      <c r="G78" s="224"/>
      <c r="H78" s="228"/>
      <c r="I78" s="236"/>
      <c r="J78" s="231"/>
      <c r="K78" s="231"/>
      <c r="L78" s="128"/>
      <c r="M78" s="155"/>
      <c r="N78" s="425"/>
      <c r="O78" s="439"/>
      <c r="P78" s="255"/>
      <c r="Q78" s="255"/>
      <c r="R78" s="255"/>
      <c r="S78" s="206"/>
      <c r="T78" s="64" t="s">
        <v>47</v>
      </c>
      <c r="U78" s="64">
        <f>COUNTIF(D69:D88,"과")</f>
        <v>0</v>
      </c>
      <c r="V78" s="65">
        <f>COUNTIF(I69:I88,"과")</f>
        <v>0</v>
      </c>
      <c r="W78" s="64" t="s">
        <v>26</v>
      </c>
      <c r="X78" s="64">
        <f>SUMIF(D69:D88,"과",F69:F88)</f>
        <v>0</v>
      </c>
      <c r="Y78" s="65">
        <f>SUMIF(I69:I88,"과",K69:K88)</f>
        <v>0</v>
      </c>
      <c r="Z78" s="64">
        <f>COUNTIF(AJ69:AJ88,"과국")+COUNTIF(AJ69:AJ88,"과공")</f>
        <v>0</v>
      </c>
      <c r="AA78" s="65">
        <f>COUNTIF(AK69:AK88,"과국")+COUNTIF(AK69:AK88,"과공")</f>
        <v>0</v>
      </c>
      <c r="AB78" s="64" t="s">
        <v>26</v>
      </c>
      <c r="AC78" s="64">
        <f>SUMIF(AJ69:AJ88,"과국",F69:F88)+SUMIF(AJ69:AJ88,"과공",F69:F88)</f>
        <v>0</v>
      </c>
      <c r="AD78" s="65">
        <f>SUMIF(AK69:AK88,"과국",K69:K88)+SUMIF(AK69:AK88,"과공",K69:K88)</f>
        <v>0</v>
      </c>
      <c r="AE78" s="64">
        <f t="shared" si="13"/>
        <v>0</v>
      </c>
      <c r="AF78" s="65">
        <f t="shared" si="13"/>
        <v>0</v>
      </c>
      <c r="AG78" s="64" t="s">
        <v>26</v>
      </c>
      <c r="AH78" s="64">
        <f t="shared" si="14"/>
        <v>0</v>
      </c>
      <c r="AI78" s="65">
        <f t="shared" si="14"/>
        <v>0</v>
      </c>
      <c r="AJ78" s="64" t="str">
        <f t="shared" si="15"/>
        <v/>
      </c>
      <c r="AK78" s="64" t="str">
        <f t="shared" si="16"/>
        <v/>
      </c>
      <c r="AL78" s="66"/>
      <c r="AM78" s="66"/>
    </row>
    <row r="79" spans="1:39" s="67" customFormat="1" ht="24" customHeight="1" x14ac:dyDescent="0.15">
      <c r="A79" s="254">
        <v>71</v>
      </c>
      <c r="B79" s="222"/>
      <c r="C79" s="136"/>
      <c r="D79" s="133"/>
      <c r="E79" s="135"/>
      <c r="F79" s="135"/>
      <c r="G79" s="224"/>
      <c r="H79" s="232"/>
      <c r="I79" s="233"/>
      <c r="J79" s="227"/>
      <c r="K79" s="227"/>
      <c r="L79" s="128"/>
      <c r="M79" s="128"/>
      <c r="N79" s="425"/>
      <c r="O79" s="428"/>
      <c r="P79" s="132"/>
      <c r="Q79" s="132"/>
      <c r="R79" s="132"/>
      <c r="S79" s="206"/>
      <c r="T79" s="64" t="s">
        <v>36</v>
      </c>
      <c r="U79" s="64">
        <f>COUNTIF(D69:D88,"묘")</f>
        <v>0</v>
      </c>
      <c r="V79" s="65">
        <f>COUNTIF(I69:I88,"묘")</f>
        <v>0</v>
      </c>
      <c r="W79" s="64" t="s">
        <v>26</v>
      </c>
      <c r="X79" s="64">
        <f>SUMIF(D69:D88,"묘",F69:F88)</f>
        <v>0</v>
      </c>
      <c r="Y79" s="65">
        <f>SUMIF(I69:I88,"묘",K69:K88)</f>
        <v>0</v>
      </c>
      <c r="Z79" s="64">
        <f>COUNTIF(AJ69:AJ88,"묘국")+COUNTIF(AJ69:AJ88,"묘공")</f>
        <v>0</v>
      </c>
      <c r="AA79" s="65">
        <f>COUNTIF(AK69:AK88,"묘국")+COUNTIF(AK69:AK88,"묘공")</f>
        <v>0</v>
      </c>
      <c r="AB79" s="64" t="s">
        <v>26</v>
      </c>
      <c r="AC79" s="64">
        <f>SUMIF(AJ69:AJ88,"묘국",F69:F88)+SUMIF(AJ69:AJ88,"묘공",F69:F88)</f>
        <v>0</v>
      </c>
      <c r="AD79" s="65">
        <f>SUMIF(AK69:AK88,"묘국",K69:K88)+SUMIF(AK69:AK88,"묘공",K69:K88)</f>
        <v>0</v>
      </c>
      <c r="AE79" s="64">
        <f t="shared" si="13"/>
        <v>0</v>
      </c>
      <c r="AF79" s="65">
        <f t="shared" si="13"/>
        <v>0</v>
      </c>
      <c r="AG79" s="64" t="s">
        <v>26</v>
      </c>
      <c r="AH79" s="64">
        <f t="shared" si="14"/>
        <v>0</v>
      </c>
      <c r="AI79" s="65">
        <f t="shared" si="14"/>
        <v>0</v>
      </c>
      <c r="AJ79" s="64" t="str">
        <f t="shared" si="15"/>
        <v/>
      </c>
      <c r="AK79" s="64" t="str">
        <f t="shared" si="16"/>
        <v/>
      </c>
      <c r="AL79" s="66"/>
      <c r="AM79" s="66"/>
    </row>
    <row r="80" spans="1:39" s="67" customFormat="1" ht="24" customHeight="1" x14ac:dyDescent="0.15">
      <c r="A80" s="273" t="s">
        <v>174</v>
      </c>
      <c r="B80" s="222"/>
      <c r="C80" s="229"/>
      <c r="D80" s="235"/>
      <c r="E80" s="230"/>
      <c r="F80" s="230"/>
      <c r="G80" s="224"/>
      <c r="H80" s="228"/>
      <c r="I80" s="236"/>
      <c r="J80" s="231"/>
      <c r="K80" s="231"/>
      <c r="L80" s="128"/>
      <c r="M80" s="137"/>
      <c r="N80" s="425"/>
      <c r="O80" s="428"/>
      <c r="P80" s="255"/>
      <c r="Q80" s="255"/>
      <c r="R80" s="255"/>
      <c r="S80" s="206"/>
      <c r="T80" s="64" t="s">
        <v>196</v>
      </c>
      <c r="U80" s="64">
        <f>COUNTIF(D69:D88,"수")</f>
        <v>0</v>
      </c>
      <c r="V80" s="65">
        <f>COUNTIF(I69:I88,"수")</f>
        <v>0</v>
      </c>
      <c r="W80" s="64" t="s">
        <v>26</v>
      </c>
      <c r="X80" s="64">
        <f>SUMIF(D69:D88,"수",F69:F88)</f>
        <v>0</v>
      </c>
      <c r="Y80" s="65">
        <f>SUMIF(I69:I88,"수",K69:K88)</f>
        <v>0</v>
      </c>
      <c r="Z80" s="64">
        <f>COUNTIF(AJ69:AJ88,"수국")+COUNTIF(AJ69:AJ88,"수공")</f>
        <v>0</v>
      </c>
      <c r="AA80" s="65">
        <f>COUNTIF(AK69:AK88,"수국")+COUNTIF(AK69:AK88,"수공")</f>
        <v>0</v>
      </c>
      <c r="AB80" s="64" t="s">
        <v>26</v>
      </c>
      <c r="AC80" s="64">
        <f>SUMIF(AJ69:AJ88,"수국",F69:F88)+SUMIF(AJ69:AJ88,"수공",F69:F88)</f>
        <v>0</v>
      </c>
      <c r="AD80" s="65">
        <f>SUMIF(AK69:AK88,"수국",K69:K88)+SUMIF(AK69:AK88,"수공",K69:K88)</f>
        <v>0</v>
      </c>
      <c r="AE80" s="64">
        <f t="shared" si="13"/>
        <v>0</v>
      </c>
      <c r="AF80" s="65">
        <f t="shared" si="13"/>
        <v>0</v>
      </c>
      <c r="AG80" s="64" t="s">
        <v>26</v>
      </c>
      <c r="AH80" s="64">
        <f t="shared" si="14"/>
        <v>0</v>
      </c>
      <c r="AI80" s="65">
        <f t="shared" si="14"/>
        <v>0</v>
      </c>
      <c r="AJ80" s="64" t="str">
        <f t="shared" si="15"/>
        <v/>
      </c>
      <c r="AK80" s="64" t="str">
        <f t="shared" si="16"/>
        <v/>
      </c>
      <c r="AL80" s="66"/>
      <c r="AM80" s="66"/>
    </row>
    <row r="81" spans="1:39" s="67" customFormat="1" ht="24" customHeight="1" x14ac:dyDescent="0.15">
      <c r="A81" s="273" t="s">
        <v>82</v>
      </c>
      <c r="B81" s="222"/>
      <c r="C81" s="136"/>
      <c r="D81" s="133"/>
      <c r="E81" s="135"/>
      <c r="F81" s="135"/>
      <c r="G81" s="224"/>
      <c r="H81" s="232"/>
      <c r="I81" s="233"/>
      <c r="J81" s="227"/>
      <c r="K81" s="227"/>
      <c r="L81" s="137"/>
      <c r="M81" s="137"/>
      <c r="N81" s="428"/>
      <c r="O81" s="428"/>
      <c r="P81" s="132"/>
      <c r="Q81" s="132"/>
      <c r="R81" s="132"/>
      <c r="S81" s="206"/>
      <c r="T81" s="64" t="s">
        <v>35</v>
      </c>
      <c r="U81" s="64">
        <f>COUNTIF(D69:D88,"잡")</f>
        <v>0</v>
      </c>
      <c r="V81" s="65">
        <f>COUNTIF(I69:I88,"잡")</f>
        <v>0</v>
      </c>
      <c r="W81" s="64" t="s">
        <v>26</v>
      </c>
      <c r="X81" s="64">
        <f>SUMIF(D69:D88,"잡",F69:F88)</f>
        <v>0</v>
      </c>
      <c r="Y81" s="65">
        <f>SUMIF(I69:I88,"잡",K69:K88)</f>
        <v>0</v>
      </c>
      <c r="Z81" s="64">
        <f>COUNTIF(AJ69:AJ88,"잡국")+COUNTIF(AJ69:AJ88,"잡공")</f>
        <v>0</v>
      </c>
      <c r="AA81" s="65">
        <f>COUNTIF(AK69:AK88,"잡국")+COUNTIF(AK69:AK88,"잡공")</f>
        <v>0</v>
      </c>
      <c r="AB81" s="64" t="s">
        <v>26</v>
      </c>
      <c r="AC81" s="64">
        <f>SUMIF(AJ69:AJ88,"잡국",F69:F88)+SUMIF(AJ69:AJ88,"잡공",F69:F88)</f>
        <v>0</v>
      </c>
      <c r="AD81" s="65">
        <f>SUMIF(AK69:AK88,"잡국",K69:K88)+SUMIF(AK69:AK88,"잡공",K69:K88)</f>
        <v>0</v>
      </c>
      <c r="AE81" s="64">
        <f t="shared" si="13"/>
        <v>0</v>
      </c>
      <c r="AF81" s="65">
        <f t="shared" si="13"/>
        <v>0</v>
      </c>
      <c r="AG81" s="64" t="s">
        <v>26</v>
      </c>
      <c r="AH81" s="64">
        <f t="shared" si="14"/>
        <v>0</v>
      </c>
      <c r="AI81" s="65">
        <f t="shared" si="14"/>
        <v>0</v>
      </c>
      <c r="AJ81" s="64" t="str">
        <f t="shared" si="15"/>
        <v/>
      </c>
      <c r="AK81" s="64" t="str">
        <f t="shared" si="16"/>
        <v/>
      </c>
      <c r="AL81" s="66"/>
      <c r="AM81" s="66"/>
    </row>
    <row r="82" spans="1:39" s="67" customFormat="1" ht="24" customHeight="1" x14ac:dyDescent="0.15">
      <c r="A82" s="254">
        <v>74</v>
      </c>
      <c r="B82" s="222"/>
      <c r="C82" s="136"/>
      <c r="D82" s="133"/>
      <c r="E82" s="135"/>
      <c r="F82" s="135"/>
      <c r="G82" s="224"/>
      <c r="H82" s="232"/>
      <c r="I82" s="233"/>
      <c r="J82" s="227"/>
      <c r="K82" s="227"/>
      <c r="L82" s="137"/>
      <c r="M82" s="137"/>
      <c r="N82" s="428"/>
      <c r="O82" s="428"/>
      <c r="P82" s="132"/>
      <c r="Q82" s="132"/>
      <c r="R82" s="132"/>
      <c r="S82" s="206"/>
      <c r="T82" s="64" t="s">
        <v>195</v>
      </c>
      <c r="U82" s="64">
        <f>COUNTIF(D69:D88,"창")</f>
        <v>0</v>
      </c>
      <c r="V82" s="65">
        <f>COUNTIF(I69:I88,"창")</f>
        <v>0</v>
      </c>
      <c r="W82" s="64" t="s">
        <v>26</v>
      </c>
      <c r="X82" s="64">
        <f>SUMIF(D69:D88,"창",F69:F88)</f>
        <v>0</v>
      </c>
      <c r="Y82" s="65">
        <f>SUMIF(I69:I88,"창",K69:K88)</f>
        <v>0</v>
      </c>
      <c r="Z82" s="64">
        <f>COUNTIF(AJ69:AJ88,"창국")+COUNTIF(AJ69:AJ88,"창공")</f>
        <v>0</v>
      </c>
      <c r="AA82" s="65">
        <f>COUNTIF(AK69:AK88,"창국")+COUNTIF(AK69:AK88,"창공")</f>
        <v>0</v>
      </c>
      <c r="AB82" s="64" t="s">
        <v>26</v>
      </c>
      <c r="AC82" s="64">
        <f>SUMIF(AJ69:AJ88,"창국",F69:F88)+SUMIF(AJ69:AJ88,"창공",F69:F88)</f>
        <v>0</v>
      </c>
      <c r="AD82" s="65">
        <f>SUMIF(AK69:AK88,"창국",K69:K88)+SUMIF(AK69:AK88,"창공",K69:K88)</f>
        <v>0</v>
      </c>
      <c r="AE82" s="64">
        <f t="shared" si="13"/>
        <v>0</v>
      </c>
      <c r="AF82" s="65">
        <f t="shared" si="13"/>
        <v>0</v>
      </c>
      <c r="AG82" s="64" t="s">
        <v>26</v>
      </c>
      <c r="AH82" s="64">
        <f t="shared" si="14"/>
        <v>0</v>
      </c>
      <c r="AI82" s="65">
        <f t="shared" si="14"/>
        <v>0</v>
      </c>
      <c r="AJ82" s="64" t="str">
        <f t="shared" si="15"/>
        <v/>
      </c>
      <c r="AK82" s="64" t="str">
        <f t="shared" si="16"/>
        <v/>
      </c>
      <c r="AL82" s="66"/>
      <c r="AM82" s="66"/>
    </row>
    <row r="83" spans="1:39" s="67" customFormat="1" ht="24" customHeight="1" x14ac:dyDescent="0.15">
      <c r="A83" s="254">
        <v>75</v>
      </c>
      <c r="B83" s="222"/>
      <c r="C83" s="136"/>
      <c r="D83" s="133"/>
      <c r="E83" s="135"/>
      <c r="F83" s="135"/>
      <c r="G83" s="224"/>
      <c r="H83" s="232"/>
      <c r="I83" s="233"/>
      <c r="J83" s="227"/>
      <c r="K83" s="227"/>
      <c r="L83" s="128"/>
      <c r="M83" s="137"/>
      <c r="N83" s="425"/>
      <c r="O83" s="428"/>
      <c r="P83" s="132"/>
      <c r="Q83" s="132"/>
      <c r="R83" s="132"/>
      <c r="S83" s="206"/>
      <c r="T83" s="64" t="s">
        <v>194</v>
      </c>
      <c r="U83" s="64">
        <f>COUNTIF(D69:D88,"장")</f>
        <v>0</v>
      </c>
      <c r="V83" s="65">
        <f>COUNTIF(I69:I88,"장")</f>
        <v>0</v>
      </c>
      <c r="W83" s="64" t="s">
        <v>26</v>
      </c>
      <c r="X83" s="64">
        <f>SUMIF(D69:D88,"장",F69:F88)</f>
        <v>0</v>
      </c>
      <c r="Y83" s="65">
        <f>SUMIF(I69:I88,"장",K69:K88)</f>
        <v>0</v>
      </c>
      <c r="Z83" s="64">
        <f>COUNTIF(AJ69:AJ88,"장국")+COUNTIF(AJ69:AJ88,"장장")</f>
        <v>0</v>
      </c>
      <c r="AA83" s="65">
        <f>COUNTIF(AK69:AK88,"장국")+COUNTIF(AK69:AK88,"장장")</f>
        <v>0</v>
      </c>
      <c r="AB83" s="64" t="s">
        <v>26</v>
      </c>
      <c r="AC83" s="64">
        <f>SUMIF(AJ69:AJ88,"장국",F69:F88)+SUMIF(AJ69:AJ88,"장장",F69:F88)</f>
        <v>0</v>
      </c>
      <c r="AD83" s="65">
        <f>SUMIF(AK69:AK88,"장국",K69:K88)+SUMIF(AK69:AK88,"장장",K69:K88)</f>
        <v>0</v>
      </c>
      <c r="AE83" s="64">
        <f t="shared" si="13"/>
        <v>0</v>
      </c>
      <c r="AF83" s="65">
        <f t="shared" si="13"/>
        <v>0</v>
      </c>
      <c r="AG83" s="64" t="s">
        <v>26</v>
      </c>
      <c r="AH83" s="64">
        <f t="shared" si="14"/>
        <v>0</v>
      </c>
      <c r="AI83" s="65">
        <f t="shared" si="14"/>
        <v>0</v>
      </c>
      <c r="AJ83" s="64" t="str">
        <f t="shared" si="15"/>
        <v/>
      </c>
      <c r="AK83" s="64" t="str">
        <f t="shared" si="16"/>
        <v/>
      </c>
      <c r="AL83" s="66"/>
      <c r="AM83" s="66"/>
    </row>
    <row r="84" spans="1:39" s="67" customFormat="1" ht="24" customHeight="1" x14ac:dyDescent="0.15">
      <c r="A84" s="254">
        <v>76</v>
      </c>
      <c r="B84" s="222"/>
      <c r="C84" s="136"/>
      <c r="D84" s="136"/>
      <c r="E84" s="265"/>
      <c r="F84" s="230"/>
      <c r="G84" s="224"/>
      <c r="H84" s="232"/>
      <c r="I84" s="232"/>
      <c r="J84" s="269"/>
      <c r="K84" s="231"/>
      <c r="L84" s="128"/>
      <c r="M84" s="137"/>
      <c r="N84" s="425"/>
      <c r="O84" s="428"/>
      <c r="P84" s="123"/>
      <c r="Q84" s="123"/>
      <c r="R84" s="123"/>
      <c r="S84" s="206"/>
      <c r="T84" s="70" t="s">
        <v>193</v>
      </c>
      <c r="U84" s="64">
        <f>COUNTIF(D69:D88,"학")</f>
        <v>0</v>
      </c>
      <c r="V84" s="65">
        <f>COUNTIF(I69:I88,"학")</f>
        <v>0</v>
      </c>
      <c r="W84" s="64" t="s">
        <v>26</v>
      </c>
      <c r="X84" s="64">
        <f>SUMIF(D69:D88,"학",F69:F88)</f>
        <v>0</v>
      </c>
      <c r="Y84" s="65">
        <f>SUMIF(I69:I88,"학",K69:K88)</f>
        <v>0</v>
      </c>
      <c r="Z84" s="64">
        <f>COUNTIF(AJ69:AJ88,"학국")+COUNTIF(AJ69:AJ88,"학공")</f>
        <v>0</v>
      </c>
      <c r="AA84" s="65">
        <f>COUNTIF(AK69:AK88,"학국")+COUNTIF(AK69:AK88,"학공")</f>
        <v>0</v>
      </c>
      <c r="AB84" s="64" t="s">
        <v>26</v>
      </c>
      <c r="AC84" s="64">
        <f>SUMIF(AJ69:AJ88,"학국",F69:F88)+SUMIF(AJ69:AJ88,"학공",F69:F88)</f>
        <v>0</v>
      </c>
      <c r="AD84" s="65">
        <f>SUMIF(AK69:AK88,"학국",K69:K88)+SUMIF(AK69:AK88,"학공",K69:K88)</f>
        <v>0</v>
      </c>
      <c r="AE84" s="64">
        <f t="shared" si="13"/>
        <v>0</v>
      </c>
      <c r="AF84" s="65">
        <f t="shared" si="13"/>
        <v>0</v>
      </c>
      <c r="AG84" s="64" t="s">
        <v>26</v>
      </c>
      <c r="AH84" s="64">
        <f t="shared" si="14"/>
        <v>0</v>
      </c>
      <c r="AI84" s="65">
        <f t="shared" si="14"/>
        <v>0</v>
      </c>
      <c r="AJ84" s="64" t="str">
        <f t="shared" si="15"/>
        <v/>
      </c>
      <c r="AK84" s="64" t="str">
        <f t="shared" si="16"/>
        <v/>
      </c>
      <c r="AL84" s="66"/>
      <c r="AM84" s="66"/>
    </row>
    <row r="85" spans="1:39" s="67" customFormat="1" ht="24" customHeight="1" x14ac:dyDescent="0.15">
      <c r="A85" s="254">
        <v>77</v>
      </c>
      <c r="B85" s="222"/>
      <c r="C85" s="136"/>
      <c r="D85" s="136"/>
      <c r="E85" s="265"/>
      <c r="F85" s="230"/>
      <c r="G85" s="224"/>
      <c r="H85" s="232"/>
      <c r="I85" s="232"/>
      <c r="J85" s="269"/>
      <c r="K85" s="231"/>
      <c r="L85" s="128"/>
      <c r="M85" s="137"/>
      <c r="N85" s="425"/>
      <c r="O85" s="428"/>
      <c r="P85" s="123"/>
      <c r="Q85" s="123"/>
      <c r="R85" s="123"/>
      <c r="S85" s="206"/>
      <c r="T85" s="70" t="s">
        <v>79</v>
      </c>
      <c r="U85" s="64">
        <f>COUNTIF(D69:D88,"창")</f>
        <v>0</v>
      </c>
      <c r="V85" s="65">
        <f>COUNTIF(I69:I88,"창")</f>
        <v>0</v>
      </c>
      <c r="W85" s="64" t="s">
        <v>26</v>
      </c>
      <c r="X85" s="64">
        <f>SUMIF(D69:D88,"창",F69:F88)</f>
        <v>0</v>
      </c>
      <c r="Y85" s="65">
        <f>SUMIF(I69:I88,"창",K69:K88)</f>
        <v>0</v>
      </c>
      <c r="Z85" s="64">
        <f>COUNTIF(AJ69:AJ88,"창국")+COUNTIF(AJ69:AJ88,"창공")</f>
        <v>0</v>
      </c>
      <c r="AA85" s="65">
        <f>COUNTIF(AK69:AK88,"창국")+COUNTIF(AK69:AK88,"창공")</f>
        <v>0</v>
      </c>
      <c r="AB85" s="64" t="s">
        <v>26</v>
      </c>
      <c r="AC85" s="64">
        <f>SUMIF(AJ69:AJ88,"창국",F69:F88)+SUMIF(AJ69:AJ88,"창공",F69:F88)</f>
        <v>0</v>
      </c>
      <c r="AD85" s="65">
        <f>SUMIF(AK69:AK88,"창국",K69:K88)+SUMIF(AK69:AK88,"창공",K69:K88)</f>
        <v>0</v>
      </c>
      <c r="AE85" s="64">
        <f t="shared" si="13"/>
        <v>0</v>
      </c>
      <c r="AF85" s="65">
        <f t="shared" si="13"/>
        <v>0</v>
      </c>
      <c r="AG85" s="64" t="s">
        <v>26</v>
      </c>
      <c r="AH85" s="64">
        <f t="shared" si="14"/>
        <v>0</v>
      </c>
      <c r="AI85" s="65">
        <f t="shared" si="14"/>
        <v>0</v>
      </c>
      <c r="AJ85" s="64" t="str">
        <f t="shared" si="15"/>
        <v/>
      </c>
      <c r="AK85" s="64" t="str">
        <f t="shared" si="16"/>
        <v/>
      </c>
      <c r="AL85" s="66"/>
      <c r="AM85" s="66"/>
    </row>
    <row r="86" spans="1:39" s="67" customFormat="1" ht="24" customHeight="1" x14ac:dyDescent="0.15">
      <c r="A86" s="273" t="s">
        <v>173</v>
      </c>
      <c r="B86" s="222"/>
      <c r="C86" s="136"/>
      <c r="D86" s="133"/>
      <c r="E86" s="135"/>
      <c r="F86" s="135"/>
      <c r="G86" s="224"/>
      <c r="H86" s="232"/>
      <c r="I86" s="233"/>
      <c r="J86" s="227"/>
      <c r="K86" s="227"/>
      <c r="L86" s="128"/>
      <c r="M86" s="137"/>
      <c r="N86" s="425"/>
      <c r="O86" s="445"/>
      <c r="P86" s="132"/>
      <c r="Q86" s="102"/>
      <c r="R86" s="132"/>
      <c r="S86" s="253"/>
      <c r="T86" s="70"/>
      <c r="U86" s="70"/>
      <c r="V86" s="71"/>
      <c r="W86" s="70"/>
      <c r="X86" s="70"/>
      <c r="Y86" s="71"/>
      <c r="Z86" s="64"/>
      <c r="AA86" s="65"/>
      <c r="AB86" s="70"/>
      <c r="AC86" s="64"/>
      <c r="AD86" s="65"/>
      <c r="AE86" s="70"/>
      <c r="AF86" s="71"/>
      <c r="AG86" s="70"/>
      <c r="AH86" s="70"/>
      <c r="AI86" s="71"/>
      <c r="AJ86" s="64" t="str">
        <f t="shared" si="15"/>
        <v/>
      </c>
      <c r="AK86" s="64" t="str">
        <f t="shared" si="16"/>
        <v/>
      </c>
      <c r="AL86" s="66"/>
      <c r="AM86" s="66"/>
    </row>
    <row r="87" spans="1:39" s="67" customFormat="1" ht="24" customHeight="1" x14ac:dyDescent="0.15">
      <c r="A87" s="273" t="s">
        <v>83</v>
      </c>
      <c r="B87" s="222"/>
      <c r="C87" s="136"/>
      <c r="D87" s="133"/>
      <c r="E87" s="135"/>
      <c r="F87" s="135"/>
      <c r="G87" s="224"/>
      <c r="H87" s="232"/>
      <c r="I87" s="233"/>
      <c r="J87" s="227"/>
      <c r="K87" s="227"/>
      <c r="L87" s="128"/>
      <c r="M87" s="137"/>
      <c r="N87" s="425"/>
      <c r="O87" s="428"/>
      <c r="P87" s="102"/>
      <c r="Q87" s="132"/>
      <c r="R87" s="132"/>
      <c r="S87" s="206"/>
      <c r="T87" s="70"/>
      <c r="U87" s="70"/>
      <c r="V87" s="71"/>
      <c r="W87" s="70"/>
      <c r="X87" s="70"/>
      <c r="Y87" s="71"/>
      <c r="Z87" s="64"/>
      <c r="AA87" s="65"/>
      <c r="AB87" s="70"/>
      <c r="AC87" s="64"/>
      <c r="AD87" s="65"/>
      <c r="AE87" s="70"/>
      <c r="AF87" s="71"/>
      <c r="AG87" s="70"/>
      <c r="AH87" s="70"/>
      <c r="AI87" s="71"/>
      <c r="AJ87" s="64" t="str">
        <f t="shared" si="15"/>
        <v/>
      </c>
      <c r="AK87" s="64" t="str">
        <f t="shared" si="16"/>
        <v/>
      </c>
      <c r="AL87" s="66"/>
      <c r="AM87" s="66"/>
    </row>
    <row r="88" spans="1:39" s="67" customFormat="1" ht="24" customHeight="1" x14ac:dyDescent="0.15">
      <c r="A88" s="259">
        <v>80</v>
      </c>
      <c r="B88" s="222"/>
      <c r="C88" s="136"/>
      <c r="D88" s="133"/>
      <c r="E88" s="265"/>
      <c r="F88" s="230"/>
      <c r="G88" s="224"/>
      <c r="H88" s="232"/>
      <c r="I88" s="233"/>
      <c r="J88" s="269"/>
      <c r="K88" s="231"/>
      <c r="L88" s="128"/>
      <c r="M88" s="128"/>
      <c r="N88" s="425"/>
      <c r="O88" s="428"/>
      <c r="P88" s="123"/>
      <c r="Q88" s="123"/>
      <c r="R88" s="123"/>
      <c r="S88" s="206"/>
      <c r="T88" s="72" t="s">
        <v>37</v>
      </c>
      <c r="U88" s="72">
        <f>COUNTIF(D69:D88,"철")</f>
        <v>0</v>
      </c>
      <c r="V88" s="73">
        <f>COUNTIF(I69:I88,"철")</f>
        <v>0</v>
      </c>
      <c r="W88" s="72" t="s">
        <v>26</v>
      </c>
      <c r="X88" s="72">
        <f>SUMIF(D69:D88,"철",F69:F88)</f>
        <v>0</v>
      </c>
      <c r="Y88" s="73">
        <f>SUMIF(I69:I88,"철",K69:K88)</f>
        <v>0</v>
      </c>
      <c r="Z88" s="64">
        <f>COUNTIF(AJ69:AJ88,"철국")+COUNTIF(AJ69:AJ88,"철공")</f>
        <v>0</v>
      </c>
      <c r="AA88" s="65">
        <f>COUNTIF(AK69:AK88,"철국")+COUNTIF(AK69:AK88,"철공")</f>
        <v>0</v>
      </c>
      <c r="AB88" s="72" t="s">
        <v>26</v>
      </c>
      <c r="AC88" s="64">
        <f>SUMIF(AJ69:AJ88,"철국",F69:F88)+SUMIF(AJ69:AJ88,"철공",F69:F88)</f>
        <v>0</v>
      </c>
      <c r="AD88" s="65">
        <f>SUMIF(AK69:AK88,"철국",K69:K88)+SUMIF(AK69:AK88,"철공",K69:K88)</f>
        <v>0</v>
      </c>
      <c r="AE88" s="72"/>
      <c r="AF88" s="73"/>
      <c r="AG88" s="72"/>
      <c r="AH88" s="72"/>
      <c r="AI88" s="73"/>
      <c r="AJ88" s="64" t="str">
        <f t="shared" si="15"/>
        <v/>
      </c>
      <c r="AK88" s="64" t="str">
        <f t="shared" si="16"/>
        <v/>
      </c>
      <c r="AL88" s="66"/>
      <c r="AM88" s="66"/>
    </row>
    <row r="89" spans="1:39" s="57" customFormat="1" ht="24" customHeight="1" thickBot="1" x14ac:dyDescent="0.2">
      <c r="A89" s="147" t="s">
        <v>48</v>
      </c>
      <c r="B89" s="148"/>
      <c r="C89" s="148"/>
      <c r="D89" s="148"/>
      <c r="E89" s="148"/>
      <c r="F89" s="149">
        <f>SUM(F69:F88)</f>
        <v>0</v>
      </c>
      <c r="G89" s="238"/>
      <c r="H89" s="238"/>
      <c r="I89" s="239"/>
      <c r="J89" s="238"/>
      <c r="K89" s="240">
        <f>SUM(K69:K88)</f>
        <v>0</v>
      </c>
      <c r="L89" s="150"/>
      <c r="M89" s="150"/>
      <c r="N89" s="432"/>
      <c r="O89" s="432"/>
      <c r="P89" s="150"/>
      <c r="Q89" s="150"/>
      <c r="R89" s="150"/>
      <c r="S89" s="151"/>
      <c r="T89" s="62" t="s">
        <v>24</v>
      </c>
      <c r="U89" s="63">
        <f t="shared" ref="U89:AA89" si="17">SUM(U69:U88)</f>
        <v>0</v>
      </c>
      <c r="V89" s="63">
        <f t="shared" si="17"/>
        <v>0</v>
      </c>
      <c r="W89" s="63">
        <f t="shared" si="17"/>
        <v>0</v>
      </c>
      <c r="X89" s="63">
        <f t="shared" si="17"/>
        <v>0</v>
      </c>
      <c r="Y89" s="63">
        <f t="shared" si="17"/>
        <v>0</v>
      </c>
      <c r="Z89" s="63">
        <f t="shared" si="17"/>
        <v>0</v>
      </c>
      <c r="AA89" s="63">
        <f t="shared" si="17"/>
        <v>0</v>
      </c>
      <c r="AB89" s="63" t="s">
        <v>26</v>
      </c>
      <c r="AC89" s="63">
        <f>SUM(AC69:AC88)</f>
        <v>0</v>
      </c>
      <c r="AD89" s="63">
        <f>SUM(AD69:AD88)</f>
        <v>0</v>
      </c>
      <c r="AE89" s="63">
        <f>SUM(AE69:AE88)</f>
        <v>0</v>
      </c>
      <c r="AF89" s="63">
        <f>SUM(AF69:AF88)</f>
        <v>0</v>
      </c>
      <c r="AG89" s="63" t="s">
        <v>26</v>
      </c>
      <c r="AH89" s="63">
        <f>SUM(AH69:AH88)</f>
        <v>0</v>
      </c>
      <c r="AI89" s="63">
        <f>SUM(AI69:AI88)</f>
        <v>0</v>
      </c>
      <c r="AJ89" s="63"/>
      <c r="AK89" s="64" t="str">
        <f t="shared" si="16"/>
        <v/>
      </c>
    </row>
    <row r="90" spans="1:39" s="67" customFormat="1" ht="24" customHeight="1" x14ac:dyDescent="0.15">
      <c r="A90" s="214" t="s">
        <v>81</v>
      </c>
      <c r="B90" s="215"/>
      <c r="C90" s="140"/>
      <c r="D90" s="141"/>
      <c r="E90" s="217"/>
      <c r="F90" s="217"/>
      <c r="G90" s="244"/>
      <c r="H90" s="261"/>
      <c r="I90" s="262"/>
      <c r="J90" s="219"/>
      <c r="K90" s="219"/>
      <c r="L90" s="272"/>
      <c r="M90" s="475"/>
      <c r="N90" s="443"/>
      <c r="O90" s="424"/>
      <c r="P90" s="220"/>
      <c r="Q90" s="220"/>
      <c r="R90" s="220"/>
      <c r="S90" s="221"/>
      <c r="T90" s="64" t="s">
        <v>27</v>
      </c>
      <c r="U90" s="64">
        <f>COUNTIF(D90:D109,"전")</f>
        <v>0</v>
      </c>
      <c r="V90" s="65">
        <f>COUNTIF(I90:I109,"전")</f>
        <v>0</v>
      </c>
      <c r="W90" s="64" t="s">
        <v>26</v>
      </c>
      <c r="X90" s="64">
        <f>SUMIF(D90:D109,"전",F90:F109)</f>
        <v>0</v>
      </c>
      <c r="Y90" s="65">
        <f>SUMIF(I90:I109,"전",K90:K109)</f>
        <v>0</v>
      </c>
      <c r="Z90" s="64">
        <f>COUNTIF(AJ90:AJ109,"전국")+COUNTIF(AJ90:AJ109,"전공")</f>
        <v>0</v>
      </c>
      <c r="AA90" s="65">
        <f>COUNTIF(AK90:AK109,"전국")+COUNTIF(AK90:AK109,"전공")</f>
        <v>0</v>
      </c>
      <c r="AB90" s="64" t="s">
        <v>26</v>
      </c>
      <c r="AC90" s="64">
        <f>SUMIF(AJ90:AJ109,"전국",F90:F109)+SUMIF(AJ90:AJ109,"전공",F90:F109)</f>
        <v>0</v>
      </c>
      <c r="AD90" s="65">
        <f>SUMIF(AK90:AK109,"전국",K90:K109)+SUMIF(AK90:AK109,"전공",K90:K109)</f>
        <v>0</v>
      </c>
      <c r="AE90" s="64">
        <f t="shared" ref="AE90:AF106" si="18">U90-Z90</f>
        <v>0</v>
      </c>
      <c r="AF90" s="65">
        <f t="shared" si="18"/>
        <v>0</v>
      </c>
      <c r="AG90" s="64" t="s">
        <v>26</v>
      </c>
      <c r="AH90" s="64">
        <f t="shared" ref="AH90:AI106" si="19">X90-AC90</f>
        <v>0</v>
      </c>
      <c r="AI90" s="65">
        <f t="shared" si="19"/>
        <v>0</v>
      </c>
      <c r="AJ90" s="64" t="str">
        <f t="shared" ref="AJ90:AJ109" si="20">CONCATENATE(D90,L90)</f>
        <v/>
      </c>
      <c r="AK90" s="64" t="str">
        <f t="shared" si="16"/>
        <v/>
      </c>
    </row>
    <row r="91" spans="1:39" s="67" customFormat="1" ht="24" customHeight="1" x14ac:dyDescent="0.15">
      <c r="A91" s="254">
        <v>82</v>
      </c>
      <c r="B91" s="222"/>
      <c r="C91" s="136"/>
      <c r="D91" s="136"/>
      <c r="E91" s="230"/>
      <c r="F91" s="230"/>
      <c r="G91" s="224"/>
      <c r="H91" s="232"/>
      <c r="I91" s="232"/>
      <c r="J91" s="231"/>
      <c r="K91" s="231"/>
      <c r="L91" s="468"/>
      <c r="M91" s="234"/>
      <c r="N91" s="427"/>
      <c r="O91" s="426"/>
      <c r="P91" s="132"/>
      <c r="Q91" s="132"/>
      <c r="R91" s="132"/>
      <c r="S91" s="253"/>
      <c r="T91" s="64" t="s">
        <v>28</v>
      </c>
      <c r="U91" s="64">
        <f>COUNTIF(D90:D109,"답")</f>
        <v>0</v>
      </c>
      <c r="V91" s="65">
        <f>COUNTIF(I90:I109,"답")</f>
        <v>0</v>
      </c>
      <c r="W91" s="64" t="s">
        <v>26</v>
      </c>
      <c r="X91" s="64">
        <f>SUMIF(D90:D109,"답",F90:F109)</f>
        <v>0</v>
      </c>
      <c r="Y91" s="65">
        <f>SUMIF(I90:I109,"답",K90:K109)</f>
        <v>0</v>
      </c>
      <c r="Z91" s="64">
        <f>COUNTIF(AJ90:AJ109,"답국")+COUNTIF(AJ90:AJ109,"답공")</f>
        <v>0</v>
      </c>
      <c r="AA91" s="65">
        <f>COUNTIF(AK90:AK109,"답국")+COUNTIF(AK90:AK109,"답공")</f>
        <v>0</v>
      </c>
      <c r="AB91" s="64" t="s">
        <v>26</v>
      </c>
      <c r="AC91" s="64">
        <f>SUMIF(AJ90:AJ109,"답국",F90:F109)+SUMIF(AJ90:AJ109,"답공",F90:F109)</f>
        <v>0</v>
      </c>
      <c r="AD91" s="65">
        <f>SUMIF(AK90:AK109,"답국",K90:K109)+SUMIF(AK90:AK109,"답공",K90:K109)</f>
        <v>0</v>
      </c>
      <c r="AE91" s="64">
        <f t="shared" si="18"/>
        <v>0</v>
      </c>
      <c r="AF91" s="65">
        <f t="shared" si="18"/>
        <v>0</v>
      </c>
      <c r="AG91" s="64" t="s">
        <v>26</v>
      </c>
      <c r="AH91" s="64">
        <f t="shared" si="19"/>
        <v>0</v>
      </c>
      <c r="AI91" s="65">
        <f t="shared" si="19"/>
        <v>0</v>
      </c>
      <c r="AJ91" s="64" t="str">
        <f t="shared" si="20"/>
        <v/>
      </c>
      <c r="AK91" s="64" t="str">
        <f t="shared" si="16"/>
        <v/>
      </c>
    </row>
    <row r="92" spans="1:39" s="67" customFormat="1" ht="24" customHeight="1" x14ac:dyDescent="0.15">
      <c r="A92" s="254">
        <v>83</v>
      </c>
      <c r="B92" s="222"/>
      <c r="C92" s="136"/>
      <c r="D92" s="133"/>
      <c r="E92" s="230"/>
      <c r="F92" s="230"/>
      <c r="G92" s="224"/>
      <c r="H92" s="232"/>
      <c r="I92" s="233"/>
      <c r="J92" s="231"/>
      <c r="K92" s="231"/>
      <c r="L92" s="128"/>
      <c r="M92" s="128"/>
      <c r="N92" s="425"/>
      <c r="O92" s="428"/>
      <c r="P92" s="132"/>
      <c r="Q92" s="132"/>
      <c r="R92" s="132"/>
      <c r="S92" s="206"/>
      <c r="T92" s="64" t="s">
        <v>44</v>
      </c>
      <c r="U92" s="64">
        <f>COUNTIF(D90:D109,"임")</f>
        <v>0</v>
      </c>
      <c r="V92" s="65">
        <f>COUNTIF(I90:I109,"임")</f>
        <v>0</v>
      </c>
      <c r="W92" s="64" t="s">
        <v>26</v>
      </c>
      <c r="X92" s="64">
        <f>SUMIF(D90:D109,"임",F90:F109)</f>
        <v>0</v>
      </c>
      <c r="Y92" s="65">
        <f>SUMIF(I90:I109,"임",K90:K109)</f>
        <v>0</v>
      </c>
      <c r="Z92" s="64">
        <f>COUNTIF(AJ90:AJ109,"임국")+COUNTIF(AJ90:AJ109,"임공")</f>
        <v>0</v>
      </c>
      <c r="AA92" s="65">
        <f>COUNTIF(AK90:AK109,"임국")+COUNTIF(AK90:AK109,"임공")</f>
        <v>0</v>
      </c>
      <c r="AB92" s="64" t="s">
        <v>26</v>
      </c>
      <c r="AC92" s="64">
        <f>SUMIF(AJ90:AJ109,"임국",F90:F109)+SUMIF(AJ90:AJ109,"임공",F90:F109)</f>
        <v>0</v>
      </c>
      <c r="AD92" s="65">
        <f>SUMIF(AK90:AK109,"임국",K90:K109)+SUMIF(AK90:AK109,"임공",K90:K109)</f>
        <v>0</v>
      </c>
      <c r="AE92" s="64">
        <f t="shared" si="18"/>
        <v>0</v>
      </c>
      <c r="AF92" s="65">
        <f t="shared" si="18"/>
        <v>0</v>
      </c>
      <c r="AG92" s="64" t="s">
        <v>26</v>
      </c>
      <c r="AH92" s="64">
        <f t="shared" si="19"/>
        <v>0</v>
      </c>
      <c r="AI92" s="65">
        <f t="shared" si="19"/>
        <v>0</v>
      </c>
      <c r="AJ92" s="64" t="str">
        <f t="shared" si="20"/>
        <v/>
      </c>
      <c r="AK92" s="64" t="str">
        <f t="shared" si="16"/>
        <v/>
      </c>
      <c r="AL92" s="66"/>
      <c r="AM92" s="66"/>
    </row>
    <row r="93" spans="1:39" s="67" customFormat="1" ht="24" customHeight="1" x14ac:dyDescent="0.15">
      <c r="A93" s="273" t="s">
        <v>84</v>
      </c>
      <c r="B93" s="222"/>
      <c r="C93" s="136"/>
      <c r="D93" s="133"/>
      <c r="E93" s="135"/>
      <c r="F93" s="135"/>
      <c r="G93" s="224"/>
      <c r="H93" s="232"/>
      <c r="I93" s="233"/>
      <c r="J93" s="227"/>
      <c r="K93" s="227"/>
      <c r="L93" s="128"/>
      <c r="M93" s="137"/>
      <c r="N93" s="425"/>
      <c r="O93" s="428"/>
      <c r="P93" s="102"/>
      <c r="Q93" s="132"/>
      <c r="R93" s="102"/>
      <c r="S93" s="253"/>
      <c r="T93" s="64" t="s">
        <v>45</v>
      </c>
      <c r="U93" s="64">
        <f>COUNTIF(D90:D109,"대")</f>
        <v>0</v>
      </c>
      <c r="V93" s="65">
        <f>COUNTIF(I90:I109,"대")</f>
        <v>0</v>
      </c>
      <c r="W93" s="64" t="s">
        <v>26</v>
      </c>
      <c r="X93" s="64">
        <f>SUMIF(D90:D109,"대",F90:F109)</f>
        <v>0</v>
      </c>
      <c r="Y93" s="65">
        <f>SUMIF(I90:I109,"대",K90:K109)</f>
        <v>0</v>
      </c>
      <c r="Z93" s="64">
        <f>COUNTIF(AJ90:AJ109,"대국")+COUNTIF(AJ90:AJ109,"대공")</f>
        <v>0</v>
      </c>
      <c r="AA93" s="65">
        <f>COUNTIF(AK90:AK109,"대국")+COUNTIF(AK90:AK109,"대공")</f>
        <v>0</v>
      </c>
      <c r="AB93" s="64" t="s">
        <v>26</v>
      </c>
      <c r="AC93" s="64">
        <f>SUMIF(AJ90:AJ109,"대국",F90:F109)+SUMIF(AJ90:AJ109,"대공",F90:F109)</f>
        <v>0</v>
      </c>
      <c r="AD93" s="65">
        <f>SUMIF(AK90:AK109,"대국",K90:K109)+SUMIF(AK90:AK109,"대공",K90:K109)</f>
        <v>0</v>
      </c>
      <c r="AE93" s="64">
        <f t="shared" si="18"/>
        <v>0</v>
      </c>
      <c r="AF93" s="65">
        <f t="shared" si="18"/>
        <v>0</v>
      </c>
      <c r="AG93" s="64" t="s">
        <v>26</v>
      </c>
      <c r="AH93" s="64">
        <f t="shared" si="19"/>
        <v>0</v>
      </c>
      <c r="AI93" s="65">
        <f t="shared" si="19"/>
        <v>0</v>
      </c>
      <c r="AJ93" s="64" t="str">
        <f t="shared" si="20"/>
        <v/>
      </c>
      <c r="AK93" s="64" t="str">
        <f t="shared" si="16"/>
        <v/>
      </c>
      <c r="AL93" s="66"/>
      <c r="AM93" s="66"/>
    </row>
    <row r="94" spans="1:39" s="67" customFormat="1" ht="24" customHeight="1" x14ac:dyDescent="0.15">
      <c r="A94" s="273" t="s">
        <v>157</v>
      </c>
      <c r="B94" s="222"/>
      <c r="C94" s="161"/>
      <c r="D94" s="133"/>
      <c r="E94" s="135"/>
      <c r="F94" s="135"/>
      <c r="G94" s="224"/>
      <c r="H94" s="268"/>
      <c r="I94" s="233"/>
      <c r="J94" s="227"/>
      <c r="K94" s="227"/>
      <c r="L94" s="128"/>
      <c r="M94" s="137"/>
      <c r="N94" s="425"/>
      <c r="O94" s="428"/>
      <c r="P94" s="102"/>
      <c r="Q94" s="132"/>
      <c r="R94" s="102"/>
      <c r="S94" s="253"/>
      <c r="T94" s="64" t="s">
        <v>31</v>
      </c>
      <c r="U94" s="64">
        <f>COUNTIF(D90:D109,"도")</f>
        <v>0</v>
      </c>
      <c r="V94" s="65">
        <f>COUNTIF(I90:I109,"도")</f>
        <v>0</v>
      </c>
      <c r="W94" s="64" t="s">
        <v>26</v>
      </c>
      <c r="X94" s="64">
        <f>SUMIF(D90:D109,"도",F90:F109)</f>
        <v>0</v>
      </c>
      <c r="Y94" s="65">
        <f>SUMIF(I90:I109,"도",K90:K109)</f>
        <v>0</v>
      </c>
      <c r="Z94" s="64">
        <f>COUNTIF(AJ90:AJ109,"도국")+COUNTIF(AJ90:AJ109,"도공")</f>
        <v>0</v>
      </c>
      <c r="AA94" s="65">
        <f>COUNTIF(AK90:AK109,"도국")+COUNTIF(AK90:AK109,"도공")</f>
        <v>0</v>
      </c>
      <c r="AB94" s="64" t="s">
        <v>26</v>
      </c>
      <c r="AC94" s="64">
        <f>SUMIF(AJ90:AJ109,"도국",F90:F109)+SUMIF(AJ90:AJ109,"도공",F90:F109)</f>
        <v>0</v>
      </c>
      <c r="AD94" s="65">
        <f>SUMIF(AK90:AK109,"도국",K90:K109)+SUMIF(AK90:AK109,"도공",K90:K109)</f>
        <v>0</v>
      </c>
      <c r="AE94" s="64">
        <f t="shared" si="18"/>
        <v>0</v>
      </c>
      <c r="AF94" s="65">
        <f t="shared" si="18"/>
        <v>0</v>
      </c>
      <c r="AG94" s="64" t="s">
        <v>26</v>
      </c>
      <c r="AH94" s="64">
        <f t="shared" si="19"/>
        <v>0</v>
      </c>
      <c r="AI94" s="65">
        <f t="shared" si="19"/>
        <v>0</v>
      </c>
      <c r="AJ94" s="64" t="str">
        <f t="shared" si="20"/>
        <v/>
      </c>
      <c r="AK94" s="64" t="str">
        <f t="shared" si="16"/>
        <v/>
      </c>
      <c r="AL94" s="66"/>
      <c r="AM94" s="66"/>
    </row>
    <row r="95" spans="1:39" s="67" customFormat="1" ht="24" customHeight="1" x14ac:dyDescent="0.15">
      <c r="A95" s="273" t="s">
        <v>85</v>
      </c>
      <c r="B95" s="222"/>
      <c r="C95" s="136"/>
      <c r="D95" s="133"/>
      <c r="E95" s="135"/>
      <c r="F95" s="135"/>
      <c r="G95" s="224"/>
      <c r="H95" s="232"/>
      <c r="I95" s="233"/>
      <c r="J95" s="227"/>
      <c r="K95" s="227"/>
      <c r="L95" s="137"/>
      <c r="M95" s="128"/>
      <c r="N95" s="425"/>
      <c r="O95" s="428"/>
      <c r="P95" s="102"/>
      <c r="Q95" s="132"/>
      <c r="R95" s="102"/>
      <c r="S95" s="206"/>
      <c r="T95" s="64" t="s">
        <v>32</v>
      </c>
      <c r="U95" s="68">
        <f>COUNTIF(D90:D109,"천")</f>
        <v>0</v>
      </c>
      <c r="V95" s="69">
        <f>COUNTIF(I90:I109,"천")</f>
        <v>0</v>
      </c>
      <c r="W95" s="64" t="s">
        <v>26</v>
      </c>
      <c r="X95" s="64">
        <f>SUMIF(D90:D109,"천",F90:F109)</f>
        <v>0</v>
      </c>
      <c r="Y95" s="65">
        <f>SUMIF(I90:I109,"천",K90:K109)</f>
        <v>0</v>
      </c>
      <c r="Z95" s="64">
        <f>COUNTIF(AJ90:AJ109,"천국")+COUNTIF(AJ90:AJ109,"천공")</f>
        <v>0</v>
      </c>
      <c r="AA95" s="65">
        <f>COUNTIF(AK90:AK109,"천국")+COUNTIF(AK90:AK109,"천공")</f>
        <v>0</v>
      </c>
      <c r="AB95" s="64" t="s">
        <v>26</v>
      </c>
      <c r="AC95" s="64">
        <f>SUMIF(AJ90:AJ109,"천국",F90:F109)+SUMIF(AJ90:AJ109,"천공",F90:F109)</f>
        <v>0</v>
      </c>
      <c r="AD95" s="65">
        <f>SUMIF(AK90:AK109,"천국",K90:K109)+SUMIF(AK90:AK109,"천공",K90:K109)</f>
        <v>0</v>
      </c>
      <c r="AE95" s="64">
        <f t="shared" si="18"/>
        <v>0</v>
      </c>
      <c r="AF95" s="65">
        <f t="shared" si="18"/>
        <v>0</v>
      </c>
      <c r="AG95" s="64" t="s">
        <v>26</v>
      </c>
      <c r="AH95" s="64">
        <f t="shared" si="19"/>
        <v>0</v>
      </c>
      <c r="AI95" s="65">
        <f t="shared" si="19"/>
        <v>0</v>
      </c>
      <c r="AJ95" s="64" t="str">
        <f t="shared" si="20"/>
        <v/>
      </c>
      <c r="AK95" s="64" t="str">
        <f t="shared" si="16"/>
        <v/>
      </c>
      <c r="AL95" s="66"/>
      <c r="AM95" s="66"/>
    </row>
    <row r="96" spans="1:39" s="67" customFormat="1" ht="24" customHeight="1" x14ac:dyDescent="0.15">
      <c r="A96" s="273" t="s">
        <v>158</v>
      </c>
      <c r="B96" s="222"/>
      <c r="C96" s="136"/>
      <c r="D96" s="133"/>
      <c r="E96" s="265"/>
      <c r="F96" s="135"/>
      <c r="G96" s="224"/>
      <c r="H96" s="232"/>
      <c r="I96" s="233"/>
      <c r="J96" s="269"/>
      <c r="K96" s="227"/>
      <c r="L96" s="468"/>
      <c r="M96" s="234"/>
      <c r="N96" s="427"/>
      <c r="O96" s="426"/>
      <c r="P96" s="123"/>
      <c r="Q96" s="123"/>
      <c r="R96" s="123"/>
      <c r="S96" s="206"/>
      <c r="T96" s="64" t="s">
        <v>33</v>
      </c>
      <c r="U96" s="64">
        <f>COUNTIF(D90:D109,"구")</f>
        <v>0</v>
      </c>
      <c r="V96" s="65">
        <f>COUNTIF(I90:I109,"구")</f>
        <v>0</v>
      </c>
      <c r="W96" s="64" t="s">
        <v>26</v>
      </c>
      <c r="X96" s="64">
        <f>SUMIF(D90:D109,"구",F90:F109)</f>
        <v>0</v>
      </c>
      <c r="Y96" s="65">
        <f>SUMIF(I90:I109,"구",K90:K109)</f>
        <v>0</v>
      </c>
      <c r="Z96" s="64">
        <f>COUNTIF(AJ90:AJ109,"구국")+COUNTIF(AJ90:AJ109,"구공")</f>
        <v>0</v>
      </c>
      <c r="AA96" s="65">
        <f>COUNTIF(AK90:AK109,"구국")+COUNTIF(AK90:AK109,"구공")</f>
        <v>0</v>
      </c>
      <c r="AB96" s="64" t="s">
        <v>26</v>
      </c>
      <c r="AC96" s="64">
        <f>SUMIF(AJ90:AJ109,"구국",F90:F109)+SUMIF(AJ90:AJ109,"구공",F90:F109)</f>
        <v>0</v>
      </c>
      <c r="AD96" s="65">
        <f>SUMIF(AK90:AK109,"구국",K90:K109)+SUMIF(AK90:AK109,"구공",K90:K109)</f>
        <v>0</v>
      </c>
      <c r="AE96" s="64">
        <f t="shared" si="18"/>
        <v>0</v>
      </c>
      <c r="AF96" s="65">
        <f t="shared" si="18"/>
        <v>0</v>
      </c>
      <c r="AG96" s="64" t="s">
        <v>26</v>
      </c>
      <c r="AH96" s="64">
        <f t="shared" si="19"/>
        <v>0</v>
      </c>
      <c r="AI96" s="65">
        <f t="shared" si="19"/>
        <v>0</v>
      </c>
      <c r="AJ96" s="64" t="str">
        <f t="shared" si="20"/>
        <v/>
      </c>
      <c r="AK96" s="64" t="str">
        <f t="shared" si="16"/>
        <v/>
      </c>
      <c r="AL96" s="66"/>
      <c r="AM96" s="66"/>
    </row>
    <row r="97" spans="1:39" s="67" customFormat="1" ht="24" customHeight="1" x14ac:dyDescent="0.15">
      <c r="A97" s="273" t="s">
        <v>86</v>
      </c>
      <c r="B97" s="222"/>
      <c r="C97" s="136"/>
      <c r="D97" s="133"/>
      <c r="E97" s="135"/>
      <c r="F97" s="135"/>
      <c r="G97" s="224"/>
      <c r="H97" s="232"/>
      <c r="I97" s="233"/>
      <c r="J97" s="227"/>
      <c r="K97" s="227"/>
      <c r="L97" s="468"/>
      <c r="M97" s="234"/>
      <c r="N97" s="427"/>
      <c r="O97" s="426"/>
      <c r="P97" s="132"/>
      <c r="Q97" s="132"/>
      <c r="R97" s="132"/>
      <c r="S97" s="206"/>
      <c r="T97" s="64" t="s">
        <v>34</v>
      </c>
      <c r="U97" s="64">
        <f>COUNTIF(D90:D109,"제")</f>
        <v>0</v>
      </c>
      <c r="V97" s="65">
        <f>COUNTIF(I90:I109,"제")</f>
        <v>0</v>
      </c>
      <c r="W97" s="64" t="s">
        <v>26</v>
      </c>
      <c r="X97" s="64">
        <f>SUMIF(D90:D109,"제",F90:F109)</f>
        <v>0</v>
      </c>
      <c r="Y97" s="65">
        <f>SUMIF(I90:I109,"제",K90:K109)</f>
        <v>0</v>
      </c>
      <c r="Z97" s="64">
        <f>COUNTIF(AJ90:AJ109,"제국")+COUNTIF(AJ90:AJ109,"제공")</f>
        <v>0</v>
      </c>
      <c r="AA97" s="65">
        <f>COUNTIF(AK90:AK109,"제국")+COUNTIF(AK90:AK109,"제공")</f>
        <v>0</v>
      </c>
      <c r="AB97" s="64" t="s">
        <v>26</v>
      </c>
      <c r="AC97" s="64">
        <f>SUMIF(AJ90:AJ109,"제국",F90:F109)+SUMIF(AJ90:AJ109,"제공",F90:F109)</f>
        <v>0</v>
      </c>
      <c r="AD97" s="65">
        <f>SUMIF(AK90:AK109,"제국",K90:K109)+SUMIF(AK90:AK109,"제공",K90:K109)</f>
        <v>0</v>
      </c>
      <c r="AE97" s="64">
        <f t="shared" si="18"/>
        <v>0</v>
      </c>
      <c r="AF97" s="65">
        <f t="shared" si="18"/>
        <v>0</v>
      </c>
      <c r="AG97" s="64" t="s">
        <v>26</v>
      </c>
      <c r="AH97" s="64">
        <f t="shared" si="19"/>
        <v>0</v>
      </c>
      <c r="AI97" s="65">
        <f t="shared" si="19"/>
        <v>0</v>
      </c>
      <c r="AJ97" s="64" t="str">
        <f t="shared" si="20"/>
        <v/>
      </c>
      <c r="AK97" s="64" t="str">
        <f t="shared" si="16"/>
        <v/>
      </c>
      <c r="AL97" s="66"/>
      <c r="AM97" s="66"/>
    </row>
    <row r="98" spans="1:39" s="67" customFormat="1" ht="24" customHeight="1" x14ac:dyDescent="0.15">
      <c r="A98" s="273" t="s">
        <v>159</v>
      </c>
      <c r="B98" s="222"/>
      <c r="C98" s="136"/>
      <c r="D98" s="133"/>
      <c r="E98" s="135"/>
      <c r="F98" s="135"/>
      <c r="G98" s="224"/>
      <c r="H98" s="232"/>
      <c r="I98" s="233"/>
      <c r="J98" s="227"/>
      <c r="K98" s="227"/>
      <c r="L98" s="234"/>
      <c r="M98" s="468"/>
      <c r="N98" s="427"/>
      <c r="O98" s="426"/>
      <c r="P98" s="132"/>
      <c r="Q98" s="132"/>
      <c r="R98" s="132"/>
      <c r="S98" s="206"/>
      <c r="T98" s="64" t="s">
        <v>46</v>
      </c>
      <c r="U98" s="64">
        <f>COUNTIF(D90:D109,"유")</f>
        <v>0</v>
      </c>
      <c r="V98" s="65">
        <f>COUNTIF(I90:I109,"유")</f>
        <v>0</v>
      </c>
      <c r="W98" s="64" t="s">
        <v>26</v>
      </c>
      <c r="X98" s="64">
        <f>SUMIF(D90:D109,"유",F90:F109)</f>
        <v>0</v>
      </c>
      <c r="Y98" s="65">
        <f>SUMIF(I90:I109,"유",K90:K109)</f>
        <v>0</v>
      </c>
      <c r="Z98" s="64">
        <f>COUNTIF(AJ90:AJ109,"유국")+COUNTIF(AJ90:AJ109,"유공")</f>
        <v>0</v>
      </c>
      <c r="AA98" s="65">
        <f>COUNTIF(AK90:AK109,"유국")+COUNTIF(AK90:AK109,"유공")</f>
        <v>0</v>
      </c>
      <c r="AB98" s="64" t="s">
        <v>26</v>
      </c>
      <c r="AC98" s="64">
        <f>SUMIF(AJ90:AJ109,"유국",F90:F109)+SUMIF(AJ90:AJ109,"유공",F90:F109)</f>
        <v>0</v>
      </c>
      <c r="AD98" s="65">
        <f>SUMIF(AK90:AK109,"유국",K90:K109)+SUMIF(AK90:AK109,"유공",K90:K109)</f>
        <v>0</v>
      </c>
      <c r="AE98" s="64">
        <f t="shared" si="18"/>
        <v>0</v>
      </c>
      <c r="AF98" s="65">
        <f t="shared" si="18"/>
        <v>0</v>
      </c>
      <c r="AG98" s="64" t="s">
        <v>26</v>
      </c>
      <c r="AH98" s="64">
        <f t="shared" si="19"/>
        <v>0</v>
      </c>
      <c r="AI98" s="65">
        <f t="shared" si="19"/>
        <v>0</v>
      </c>
      <c r="AJ98" s="64" t="str">
        <f t="shared" si="20"/>
        <v/>
      </c>
      <c r="AK98" s="64" t="str">
        <f t="shared" si="16"/>
        <v/>
      </c>
      <c r="AL98" s="66"/>
      <c r="AM98" s="66"/>
    </row>
    <row r="99" spans="1:39" s="67" customFormat="1" ht="24" customHeight="1" x14ac:dyDescent="0.15">
      <c r="A99" s="273" t="s">
        <v>87</v>
      </c>
      <c r="B99" s="222"/>
      <c r="C99" s="136"/>
      <c r="D99" s="133"/>
      <c r="E99" s="135"/>
      <c r="F99" s="135"/>
      <c r="G99" s="224"/>
      <c r="H99" s="232"/>
      <c r="I99" s="233"/>
      <c r="J99" s="227"/>
      <c r="K99" s="227"/>
      <c r="L99" s="128"/>
      <c r="M99" s="128"/>
      <c r="N99" s="425"/>
      <c r="O99" s="428"/>
      <c r="P99" s="102"/>
      <c r="Q99" s="132"/>
      <c r="R99" s="102"/>
      <c r="S99" s="206"/>
      <c r="T99" s="64" t="s">
        <v>47</v>
      </c>
      <c r="U99" s="64">
        <f>COUNTIF(D90:D109,"과")</f>
        <v>0</v>
      </c>
      <c r="V99" s="65">
        <f>COUNTIF(I90:I109,"과")</f>
        <v>0</v>
      </c>
      <c r="W99" s="64" t="s">
        <v>26</v>
      </c>
      <c r="X99" s="64">
        <f>SUMIF(D90:D109,"과",F90:F109)</f>
        <v>0</v>
      </c>
      <c r="Y99" s="65">
        <f>SUMIF(I90:I109,"과",K90:K109)</f>
        <v>0</v>
      </c>
      <c r="Z99" s="64">
        <f>COUNTIF(AJ90:AJ109,"과국")+COUNTIF(AJ90:AJ109,"과공")</f>
        <v>0</v>
      </c>
      <c r="AA99" s="65">
        <f>COUNTIF(AK90:AK109,"과국")+COUNTIF(AK90:AK109,"과공")</f>
        <v>0</v>
      </c>
      <c r="AB99" s="64" t="s">
        <v>26</v>
      </c>
      <c r="AC99" s="64">
        <f>SUMIF(AJ90:AJ109,"과국",F90:F109)+SUMIF(AJ90:AJ109,"과공",F90:F109)</f>
        <v>0</v>
      </c>
      <c r="AD99" s="65">
        <f>SUMIF(AK90:AK109,"과국",K90:K109)+SUMIF(AK90:AK109,"과공",K90:K109)</f>
        <v>0</v>
      </c>
      <c r="AE99" s="64">
        <f t="shared" si="18"/>
        <v>0</v>
      </c>
      <c r="AF99" s="65">
        <f t="shared" si="18"/>
        <v>0</v>
      </c>
      <c r="AG99" s="64" t="s">
        <v>26</v>
      </c>
      <c r="AH99" s="64">
        <f t="shared" si="19"/>
        <v>0</v>
      </c>
      <c r="AI99" s="65">
        <f t="shared" si="19"/>
        <v>0</v>
      </c>
      <c r="AJ99" s="64" t="str">
        <f t="shared" si="20"/>
        <v/>
      </c>
      <c r="AK99" s="64" t="str">
        <f t="shared" si="16"/>
        <v/>
      </c>
      <c r="AL99" s="66"/>
      <c r="AM99" s="66"/>
    </row>
    <row r="100" spans="1:39" s="67" customFormat="1" ht="24" customHeight="1" x14ac:dyDescent="0.15">
      <c r="A100" s="273" t="s">
        <v>160</v>
      </c>
      <c r="B100" s="222"/>
      <c r="C100" s="136"/>
      <c r="D100" s="133"/>
      <c r="E100" s="135"/>
      <c r="F100" s="135"/>
      <c r="G100" s="224"/>
      <c r="H100" s="232"/>
      <c r="I100" s="233"/>
      <c r="J100" s="227"/>
      <c r="K100" s="227"/>
      <c r="L100" s="128"/>
      <c r="M100" s="128"/>
      <c r="N100" s="425"/>
      <c r="O100" s="425"/>
      <c r="P100" s="102"/>
      <c r="Q100" s="132"/>
      <c r="R100" s="102"/>
      <c r="S100" s="264"/>
      <c r="T100" s="64" t="s">
        <v>36</v>
      </c>
      <c r="U100" s="64">
        <f>COUNTIF(D90:D109,"묘")</f>
        <v>0</v>
      </c>
      <c r="V100" s="65">
        <f>COUNTIF(I90:I109,"묘")</f>
        <v>0</v>
      </c>
      <c r="W100" s="64" t="s">
        <v>26</v>
      </c>
      <c r="X100" s="64">
        <f>SUMIF(D90:D109,"묘",F90:F109)</f>
        <v>0</v>
      </c>
      <c r="Y100" s="65">
        <f>SUMIF(I90:I109,"묘",K90:K109)</f>
        <v>0</v>
      </c>
      <c r="Z100" s="64">
        <f>COUNTIF(AJ90:AJ109,"묘국")+COUNTIF(AJ90:AJ109,"묘공")</f>
        <v>0</v>
      </c>
      <c r="AA100" s="65">
        <f>COUNTIF(AK90:AK109,"묘국")+COUNTIF(AK90:AK109,"묘공")</f>
        <v>0</v>
      </c>
      <c r="AB100" s="64" t="s">
        <v>26</v>
      </c>
      <c r="AC100" s="64">
        <f>SUMIF(AJ90:AJ109,"묘국",F90:F109)+SUMIF(AJ90:AJ109,"묘공",F90:F109)</f>
        <v>0</v>
      </c>
      <c r="AD100" s="65">
        <f>SUMIF(AK90:AK109,"묘국",K90:K109)+SUMIF(AK90:AK109,"묘공",K90:K109)</f>
        <v>0</v>
      </c>
      <c r="AE100" s="64">
        <f t="shared" si="18"/>
        <v>0</v>
      </c>
      <c r="AF100" s="65">
        <f t="shared" si="18"/>
        <v>0</v>
      </c>
      <c r="AG100" s="64" t="s">
        <v>26</v>
      </c>
      <c r="AH100" s="64">
        <f t="shared" si="19"/>
        <v>0</v>
      </c>
      <c r="AI100" s="65">
        <f t="shared" si="19"/>
        <v>0</v>
      </c>
      <c r="AJ100" s="64" t="str">
        <f t="shared" si="20"/>
        <v/>
      </c>
      <c r="AK100" s="64" t="str">
        <f t="shared" si="16"/>
        <v/>
      </c>
      <c r="AL100" s="66"/>
      <c r="AM100" s="66"/>
    </row>
    <row r="101" spans="1:39" s="67" customFormat="1" ht="24" customHeight="1" x14ac:dyDescent="0.15">
      <c r="A101" s="273" t="s">
        <v>88</v>
      </c>
      <c r="B101" s="222"/>
      <c r="C101" s="136"/>
      <c r="D101" s="133"/>
      <c r="E101" s="135"/>
      <c r="F101" s="135"/>
      <c r="G101" s="224"/>
      <c r="H101" s="232"/>
      <c r="I101" s="233"/>
      <c r="J101" s="227"/>
      <c r="K101" s="227"/>
      <c r="L101" s="128"/>
      <c r="M101" s="128"/>
      <c r="N101" s="425"/>
      <c r="O101" s="425"/>
      <c r="P101" s="102"/>
      <c r="Q101" s="132"/>
      <c r="R101" s="102"/>
      <c r="S101" s="276"/>
      <c r="T101" s="64" t="s">
        <v>39</v>
      </c>
      <c r="U101" s="64">
        <f>COUNTIF(D90:D109,"수")</f>
        <v>0</v>
      </c>
      <c r="V101" s="65">
        <f>COUNTIF(I90:I109,"수")</f>
        <v>0</v>
      </c>
      <c r="W101" s="64" t="s">
        <v>26</v>
      </c>
      <c r="X101" s="64">
        <f>SUMIF(D90:D109,"수",F90:F109)</f>
        <v>0</v>
      </c>
      <c r="Y101" s="65">
        <f>SUMIF(I90:I109,"수",K90:K109)</f>
        <v>0</v>
      </c>
      <c r="Z101" s="64">
        <f>COUNTIF(AJ90:AJ109,"수국")+COUNTIF(AJ90:AJ109,"수공")</f>
        <v>0</v>
      </c>
      <c r="AA101" s="65">
        <f>COUNTIF(AK90:AK109,"수국")+COUNTIF(AK90:AK109,"수공")</f>
        <v>0</v>
      </c>
      <c r="AB101" s="64" t="s">
        <v>26</v>
      </c>
      <c r="AC101" s="64">
        <f>SUMIF(AJ90:AJ109,"수국",F90:F109)+SUMIF(AJ90:AJ109,"수공",F90:F109)</f>
        <v>0</v>
      </c>
      <c r="AD101" s="65">
        <f>SUMIF(AK90:AK109,"수국",K90:K109)+SUMIF(AK90:AK109,"수공",K90:K109)</f>
        <v>0</v>
      </c>
      <c r="AE101" s="64">
        <f t="shared" si="18"/>
        <v>0</v>
      </c>
      <c r="AF101" s="65">
        <f t="shared" si="18"/>
        <v>0</v>
      </c>
      <c r="AG101" s="64" t="s">
        <v>26</v>
      </c>
      <c r="AH101" s="64">
        <f t="shared" si="19"/>
        <v>0</v>
      </c>
      <c r="AI101" s="65">
        <f t="shared" si="19"/>
        <v>0</v>
      </c>
      <c r="AJ101" s="64" t="str">
        <f t="shared" si="20"/>
        <v/>
      </c>
      <c r="AK101" s="64" t="str">
        <f t="shared" si="16"/>
        <v/>
      </c>
      <c r="AL101" s="66"/>
      <c r="AM101" s="66"/>
    </row>
    <row r="102" spans="1:39" s="67" customFormat="1" ht="24" customHeight="1" x14ac:dyDescent="0.15">
      <c r="A102" s="273" t="s">
        <v>161</v>
      </c>
      <c r="B102" s="222"/>
      <c r="C102" s="136"/>
      <c r="D102" s="133"/>
      <c r="E102" s="135"/>
      <c r="F102" s="135"/>
      <c r="G102" s="224"/>
      <c r="H102" s="232"/>
      <c r="I102" s="233"/>
      <c r="J102" s="227"/>
      <c r="K102" s="227"/>
      <c r="L102" s="128"/>
      <c r="M102" s="128"/>
      <c r="N102" s="425"/>
      <c r="O102" s="425"/>
      <c r="P102" s="132"/>
      <c r="Q102" s="132"/>
      <c r="R102" s="132"/>
      <c r="S102" s="264"/>
      <c r="T102" s="64" t="s">
        <v>35</v>
      </c>
      <c r="U102" s="64">
        <f>COUNTIF(D90:D109,"잡")</f>
        <v>0</v>
      </c>
      <c r="V102" s="65">
        <f>COUNTIF(I90:I109,"잡")</f>
        <v>0</v>
      </c>
      <c r="W102" s="64" t="s">
        <v>26</v>
      </c>
      <c r="X102" s="64">
        <f>SUMIF(D90:D109,"잡",F90:F109)</f>
        <v>0</v>
      </c>
      <c r="Y102" s="65">
        <f>SUMIF(I90:I109,"잡",K90:K109)</f>
        <v>0</v>
      </c>
      <c r="Z102" s="64">
        <f>COUNTIF(AJ90:AJ109,"잡국")+COUNTIF(AJ90:AJ109,"잡공")</f>
        <v>0</v>
      </c>
      <c r="AA102" s="65">
        <f>COUNTIF(AK90:AK109,"잡국")+COUNTIF(AK90:AK109,"잡공")</f>
        <v>0</v>
      </c>
      <c r="AB102" s="64" t="s">
        <v>26</v>
      </c>
      <c r="AC102" s="64">
        <f>SUMIF(AJ90:AJ109,"잡국",F90:F109)+SUMIF(AJ90:AJ109,"잡공",F90:F109)</f>
        <v>0</v>
      </c>
      <c r="AD102" s="65">
        <f>SUMIF(AK90:AK109,"잡국",K90:K109)+SUMIF(AK90:AK109,"잡공",K90:K109)</f>
        <v>0</v>
      </c>
      <c r="AE102" s="64">
        <f t="shared" si="18"/>
        <v>0</v>
      </c>
      <c r="AF102" s="65">
        <f t="shared" si="18"/>
        <v>0</v>
      </c>
      <c r="AG102" s="64" t="s">
        <v>26</v>
      </c>
      <c r="AH102" s="64">
        <f t="shared" si="19"/>
        <v>0</v>
      </c>
      <c r="AI102" s="65">
        <f t="shared" si="19"/>
        <v>0</v>
      </c>
      <c r="AJ102" s="64" t="str">
        <f t="shared" si="20"/>
        <v/>
      </c>
      <c r="AK102" s="64" t="str">
        <f t="shared" si="16"/>
        <v/>
      </c>
      <c r="AL102" s="66"/>
      <c r="AM102" s="66"/>
    </row>
    <row r="103" spans="1:39" s="67" customFormat="1" ht="24" customHeight="1" x14ac:dyDescent="0.15">
      <c r="A103" s="273" t="s">
        <v>89</v>
      </c>
      <c r="B103" s="222"/>
      <c r="C103" s="136"/>
      <c r="D103" s="133"/>
      <c r="E103" s="135"/>
      <c r="F103" s="135"/>
      <c r="G103" s="224"/>
      <c r="H103" s="232"/>
      <c r="I103" s="233"/>
      <c r="J103" s="227"/>
      <c r="K103" s="227"/>
      <c r="L103" s="128"/>
      <c r="M103" s="128"/>
      <c r="N103" s="425"/>
      <c r="O103" s="428"/>
      <c r="P103" s="132"/>
      <c r="Q103" s="132"/>
      <c r="R103" s="132"/>
      <c r="S103" s="264"/>
      <c r="T103" s="64" t="s">
        <v>195</v>
      </c>
      <c r="U103" s="64">
        <f>COUNTIF(D90:D109,"창")</f>
        <v>0</v>
      </c>
      <c r="V103" s="65">
        <f>COUNTIF(I90:I109,"창")</f>
        <v>0</v>
      </c>
      <c r="W103" s="64" t="s">
        <v>26</v>
      </c>
      <c r="X103" s="64">
        <f>SUMIF(D90:D109,"창",F90:F109)</f>
        <v>0</v>
      </c>
      <c r="Y103" s="65">
        <f>SUMIF(I90:I109,"창",K90:K109)</f>
        <v>0</v>
      </c>
      <c r="Z103" s="64">
        <f>COUNTIF(AJ90:AJ109,"창국")+COUNTIF(AJ90:AJ109,"창공")</f>
        <v>0</v>
      </c>
      <c r="AA103" s="65">
        <f>COUNTIF(AK90:AK109,"창국")+COUNTIF(AK90:AK109,"창공")</f>
        <v>0</v>
      </c>
      <c r="AB103" s="64" t="s">
        <v>26</v>
      </c>
      <c r="AC103" s="64">
        <f>SUMIF(AJ90:AJ109,"창국",F90:F109)+SUMIF(AJ90:AJ109,"창공",F90:F109)</f>
        <v>0</v>
      </c>
      <c r="AD103" s="65">
        <f>SUMIF(AK90:AK109,"창국",K90:K109)+SUMIF(AK90:AK109,"창공",K90:K109)</f>
        <v>0</v>
      </c>
      <c r="AE103" s="64">
        <f t="shared" si="18"/>
        <v>0</v>
      </c>
      <c r="AF103" s="65">
        <f t="shared" si="18"/>
        <v>0</v>
      </c>
      <c r="AG103" s="64" t="s">
        <v>26</v>
      </c>
      <c r="AH103" s="64">
        <f t="shared" si="19"/>
        <v>0</v>
      </c>
      <c r="AI103" s="65">
        <f t="shared" si="19"/>
        <v>0</v>
      </c>
      <c r="AJ103" s="64" t="str">
        <f t="shared" si="20"/>
        <v/>
      </c>
      <c r="AK103" s="64" t="str">
        <f t="shared" si="16"/>
        <v/>
      </c>
      <c r="AL103" s="66"/>
      <c r="AM103" s="66"/>
    </row>
    <row r="104" spans="1:39" s="67" customFormat="1" ht="24" customHeight="1" x14ac:dyDescent="0.15">
      <c r="A104" s="273" t="s">
        <v>162</v>
      </c>
      <c r="B104" s="222"/>
      <c r="C104" s="136"/>
      <c r="D104" s="133"/>
      <c r="E104" s="265"/>
      <c r="F104" s="230"/>
      <c r="G104" s="224"/>
      <c r="H104" s="232"/>
      <c r="I104" s="233"/>
      <c r="J104" s="269"/>
      <c r="K104" s="231"/>
      <c r="L104" s="123"/>
      <c r="M104" s="128"/>
      <c r="N104" s="430"/>
      <c r="O104" s="425"/>
      <c r="P104" s="123"/>
      <c r="Q104" s="123"/>
      <c r="R104" s="123"/>
      <c r="S104" s="264"/>
      <c r="T104" s="64" t="s">
        <v>194</v>
      </c>
      <c r="U104" s="64">
        <f>COUNTIF(D90:D109,"장")</f>
        <v>0</v>
      </c>
      <c r="V104" s="65">
        <f>COUNTIF(I90:I109,"장")</f>
        <v>0</v>
      </c>
      <c r="W104" s="64" t="s">
        <v>26</v>
      </c>
      <c r="X104" s="64">
        <f>SUMIF(D90:D109,"장",F90:F109)</f>
        <v>0</v>
      </c>
      <c r="Y104" s="65">
        <f>SUMIF(I90:I109,"장",K90:K109)</f>
        <v>0</v>
      </c>
      <c r="Z104" s="64">
        <f>COUNTIF(AJ90:AJ109,"장국")+COUNTIF(AJ90:AJ109,"장장")</f>
        <v>0</v>
      </c>
      <c r="AA104" s="65">
        <f>COUNTIF(AK90:AK109,"장국")+COUNTIF(AK90:AK109,"장장")</f>
        <v>0</v>
      </c>
      <c r="AB104" s="64" t="s">
        <v>26</v>
      </c>
      <c r="AC104" s="64">
        <f>SUMIF(AJ90:AJ109,"장국",F90:F109)+SUMIF(AJ90:AJ109,"장장",F90:F109)</f>
        <v>0</v>
      </c>
      <c r="AD104" s="65">
        <f>SUMIF(AK90:AK109,"장국",K90:K109)+SUMIF(AK90:AK109,"장장",K90:K109)</f>
        <v>0</v>
      </c>
      <c r="AE104" s="64">
        <f t="shared" si="18"/>
        <v>0</v>
      </c>
      <c r="AF104" s="65">
        <f t="shared" si="18"/>
        <v>0</v>
      </c>
      <c r="AG104" s="64" t="s">
        <v>26</v>
      </c>
      <c r="AH104" s="64">
        <f t="shared" si="19"/>
        <v>0</v>
      </c>
      <c r="AI104" s="65">
        <f t="shared" si="19"/>
        <v>0</v>
      </c>
      <c r="AJ104" s="64" t="str">
        <f t="shared" si="20"/>
        <v/>
      </c>
      <c r="AK104" s="64" t="str">
        <f t="shared" si="16"/>
        <v/>
      </c>
      <c r="AL104" s="66"/>
      <c r="AM104" s="66"/>
    </row>
    <row r="105" spans="1:39" s="67" customFormat="1" ht="24" customHeight="1" x14ac:dyDescent="0.15">
      <c r="A105" s="273" t="s">
        <v>163</v>
      </c>
      <c r="B105" s="222"/>
      <c r="C105" s="136"/>
      <c r="D105" s="133"/>
      <c r="E105" s="265"/>
      <c r="F105" s="230"/>
      <c r="G105" s="224"/>
      <c r="H105" s="232"/>
      <c r="I105" s="233"/>
      <c r="J105" s="269"/>
      <c r="K105" s="231"/>
      <c r="L105" s="123"/>
      <c r="M105" s="468"/>
      <c r="N105" s="430"/>
      <c r="O105" s="426"/>
      <c r="P105" s="123"/>
      <c r="Q105" s="123"/>
      <c r="R105" s="123"/>
      <c r="S105" s="264"/>
      <c r="T105" s="70" t="s">
        <v>193</v>
      </c>
      <c r="U105" s="64">
        <f>COUNTIF(D90:D109,"학")</f>
        <v>0</v>
      </c>
      <c r="V105" s="65">
        <f>COUNTIF(I90:I109,"학")</f>
        <v>0</v>
      </c>
      <c r="W105" s="64" t="s">
        <v>26</v>
      </c>
      <c r="X105" s="64">
        <f>SUMIF(D90:D109,"학",F90:F109)</f>
        <v>0</v>
      </c>
      <c r="Y105" s="65">
        <f>SUMIF(I90:I109,"학",K90:K109)</f>
        <v>0</v>
      </c>
      <c r="Z105" s="64">
        <f>COUNTIF(AJ90:AJ109,"학국")+COUNTIF(AJ90:AJ109,"학공")</f>
        <v>0</v>
      </c>
      <c r="AA105" s="65">
        <f>COUNTIF(AK90:AK109,"학국")+COUNTIF(AK90:AK109,"학공")</f>
        <v>0</v>
      </c>
      <c r="AB105" s="64" t="s">
        <v>26</v>
      </c>
      <c r="AC105" s="64">
        <f>SUMIF(AJ90:AJ109,"학국",F90:F109)+SUMIF(AJ90:AJ109,"학공",F90:F109)</f>
        <v>0</v>
      </c>
      <c r="AD105" s="65">
        <f>SUMIF(AK90:AK109,"학국",K90:K109)+SUMIF(AK90:AK109,"학공",K90:K109)</f>
        <v>0</v>
      </c>
      <c r="AE105" s="64">
        <f t="shared" si="18"/>
        <v>0</v>
      </c>
      <c r="AF105" s="65">
        <f t="shared" si="18"/>
        <v>0</v>
      </c>
      <c r="AG105" s="64" t="s">
        <v>26</v>
      </c>
      <c r="AH105" s="64">
        <f t="shared" si="19"/>
        <v>0</v>
      </c>
      <c r="AI105" s="65">
        <f t="shared" si="19"/>
        <v>0</v>
      </c>
      <c r="AJ105" s="64" t="str">
        <f t="shared" si="20"/>
        <v/>
      </c>
      <c r="AK105" s="64" t="str">
        <f t="shared" si="16"/>
        <v/>
      </c>
      <c r="AL105" s="66"/>
      <c r="AM105" s="66"/>
    </row>
    <row r="106" spans="1:39" s="67" customFormat="1" ht="24" customHeight="1" x14ac:dyDescent="0.15">
      <c r="A106" s="273" t="s">
        <v>90</v>
      </c>
      <c r="B106" s="222"/>
      <c r="C106" s="136"/>
      <c r="D106" s="133"/>
      <c r="E106" s="265"/>
      <c r="F106" s="265"/>
      <c r="G106" s="266"/>
      <c r="H106" s="232"/>
      <c r="I106" s="233"/>
      <c r="J106" s="269"/>
      <c r="K106" s="269"/>
      <c r="L106" s="155"/>
      <c r="M106" s="156"/>
      <c r="N106" s="439"/>
      <c r="O106" s="476"/>
      <c r="P106" s="102"/>
      <c r="Q106" s="138"/>
      <c r="R106" s="132"/>
      <c r="S106" s="206"/>
      <c r="T106" s="70" t="s">
        <v>79</v>
      </c>
      <c r="U106" s="64">
        <f>COUNTIF(D90:D109,"목")</f>
        <v>0</v>
      </c>
      <c r="V106" s="65">
        <f>COUNTIF(I90:I109,"목")</f>
        <v>0</v>
      </c>
      <c r="W106" s="64" t="s">
        <v>26</v>
      </c>
      <c r="X106" s="64">
        <f>SUMIF(D90:D109,"목",F90:F109)</f>
        <v>0</v>
      </c>
      <c r="Y106" s="65">
        <f>SUMIF(I90:I109,"목",K90:K109)</f>
        <v>0</v>
      </c>
      <c r="Z106" s="64">
        <f>COUNTIF(AJ90:AJ109,"목국")+COUNTIF(AJ90:AJ109,"목공")</f>
        <v>0</v>
      </c>
      <c r="AA106" s="65">
        <f>COUNTIF(AK90:AK109,"목국")+COUNTIF(AK90:AK109,"목공")</f>
        <v>0</v>
      </c>
      <c r="AB106" s="64" t="s">
        <v>26</v>
      </c>
      <c r="AC106" s="64">
        <f>SUMIF(AJ90:AJ109,"목국",F90:F109)+SUMIF(AJ90:AJ109,"목공",F90:F109)</f>
        <v>0</v>
      </c>
      <c r="AD106" s="65">
        <f>SUMIF(AK90:AK109,"목국",K90:K109)+SUMIF(AK90:AK109,"목공",K90:K109)</f>
        <v>0</v>
      </c>
      <c r="AE106" s="64">
        <f t="shared" si="18"/>
        <v>0</v>
      </c>
      <c r="AF106" s="65">
        <f t="shared" si="18"/>
        <v>0</v>
      </c>
      <c r="AG106" s="64" t="s">
        <v>26</v>
      </c>
      <c r="AH106" s="64">
        <f t="shared" si="19"/>
        <v>0</v>
      </c>
      <c r="AI106" s="65">
        <f t="shared" si="19"/>
        <v>0</v>
      </c>
      <c r="AJ106" s="64" t="str">
        <f t="shared" si="20"/>
        <v/>
      </c>
      <c r="AK106" s="64" t="str">
        <f t="shared" si="16"/>
        <v/>
      </c>
      <c r="AL106" s="66"/>
      <c r="AM106" s="66"/>
    </row>
    <row r="107" spans="1:39" s="67" customFormat="1" ht="24" customHeight="1" x14ac:dyDescent="0.15">
      <c r="A107" s="273" t="s">
        <v>164</v>
      </c>
      <c r="B107" s="222"/>
      <c r="C107" s="136"/>
      <c r="D107" s="133"/>
      <c r="E107" s="265"/>
      <c r="F107" s="265"/>
      <c r="G107" s="266"/>
      <c r="H107" s="232"/>
      <c r="I107" s="233"/>
      <c r="J107" s="269"/>
      <c r="K107" s="269"/>
      <c r="L107" s="155"/>
      <c r="M107" s="155"/>
      <c r="N107" s="439"/>
      <c r="O107" s="439"/>
      <c r="P107" s="132"/>
      <c r="Q107" s="132"/>
      <c r="R107" s="132"/>
      <c r="S107" s="264"/>
      <c r="T107" s="70"/>
      <c r="U107" s="70"/>
      <c r="V107" s="71"/>
      <c r="W107" s="70"/>
      <c r="X107" s="70"/>
      <c r="Y107" s="71"/>
      <c r="Z107" s="64"/>
      <c r="AA107" s="65"/>
      <c r="AB107" s="70"/>
      <c r="AC107" s="64"/>
      <c r="AD107" s="65"/>
      <c r="AE107" s="70"/>
      <c r="AF107" s="71"/>
      <c r="AG107" s="70"/>
      <c r="AH107" s="70"/>
      <c r="AI107" s="71"/>
      <c r="AJ107" s="64" t="str">
        <f t="shared" si="20"/>
        <v/>
      </c>
      <c r="AK107" s="64" t="str">
        <f t="shared" si="16"/>
        <v/>
      </c>
      <c r="AL107" s="66"/>
      <c r="AM107" s="66"/>
    </row>
    <row r="108" spans="1:39" s="67" customFormat="1" ht="24" customHeight="1" x14ac:dyDescent="0.15">
      <c r="A108" s="273" t="s">
        <v>91</v>
      </c>
      <c r="B108" s="222"/>
      <c r="C108" s="136"/>
      <c r="D108" s="133"/>
      <c r="E108" s="265"/>
      <c r="F108" s="265"/>
      <c r="G108" s="266"/>
      <c r="H108" s="232"/>
      <c r="I108" s="233"/>
      <c r="J108" s="269"/>
      <c r="K108" s="269"/>
      <c r="L108" s="155"/>
      <c r="M108" s="401"/>
      <c r="N108" s="439"/>
      <c r="O108" s="476"/>
      <c r="P108" s="132"/>
      <c r="Q108" s="132"/>
      <c r="R108" s="132"/>
      <c r="S108" s="264"/>
      <c r="T108" s="70"/>
      <c r="U108" s="70"/>
      <c r="V108" s="71"/>
      <c r="W108" s="70"/>
      <c r="X108" s="70"/>
      <c r="Y108" s="71"/>
      <c r="Z108" s="64"/>
      <c r="AA108" s="65"/>
      <c r="AB108" s="70"/>
      <c r="AC108" s="64"/>
      <c r="AD108" s="65"/>
      <c r="AE108" s="70"/>
      <c r="AF108" s="71"/>
      <c r="AG108" s="70"/>
      <c r="AH108" s="70"/>
      <c r="AI108" s="71"/>
      <c r="AJ108" s="64" t="str">
        <f t="shared" si="20"/>
        <v/>
      </c>
      <c r="AK108" s="64" t="str">
        <f t="shared" si="16"/>
        <v/>
      </c>
      <c r="AL108" s="66"/>
      <c r="AM108" s="66"/>
    </row>
    <row r="109" spans="1:39" s="67" customFormat="1" ht="24" customHeight="1" x14ac:dyDescent="0.15">
      <c r="A109" s="273" t="s">
        <v>22</v>
      </c>
      <c r="B109" s="222"/>
      <c r="C109" s="132"/>
      <c r="D109" s="274"/>
      <c r="E109" s="265"/>
      <c r="F109" s="265"/>
      <c r="G109" s="266"/>
      <c r="H109" s="267"/>
      <c r="I109" s="275"/>
      <c r="J109" s="269"/>
      <c r="K109" s="269"/>
      <c r="L109" s="155"/>
      <c r="M109" s="155"/>
      <c r="N109" s="439"/>
      <c r="O109" s="476"/>
      <c r="P109" s="132"/>
      <c r="Q109" s="132"/>
      <c r="R109" s="132"/>
      <c r="S109" s="264"/>
      <c r="T109" s="72" t="s">
        <v>37</v>
      </c>
      <c r="U109" s="72">
        <f>COUNTIF(D90:D109,"철")</f>
        <v>0</v>
      </c>
      <c r="V109" s="73">
        <f>COUNTIF(I90:I109,"철")</f>
        <v>0</v>
      </c>
      <c r="W109" s="72" t="s">
        <v>26</v>
      </c>
      <c r="X109" s="72">
        <f>SUMIF(D90:D109,"철",F90:F109)</f>
        <v>0</v>
      </c>
      <c r="Y109" s="73">
        <f>SUMIF(I90:I109,"철",K90:K109)</f>
        <v>0</v>
      </c>
      <c r="Z109" s="64">
        <f>COUNTIF(AJ90:AJ109,"철국")+COUNTIF(AJ90:AJ109,"철공")</f>
        <v>0</v>
      </c>
      <c r="AA109" s="65">
        <f>COUNTIF(AK90:AK109,"철국")+COUNTIF(AK90:AK109,"철공")</f>
        <v>0</v>
      </c>
      <c r="AB109" s="72" t="s">
        <v>26</v>
      </c>
      <c r="AC109" s="64">
        <f>SUMIF(AJ90:AJ109,"철국",F90:F109)+SUMIF(AJ90:AJ109,"철공",F90:F109)</f>
        <v>0</v>
      </c>
      <c r="AD109" s="65">
        <f>SUMIF(AK90:AK109,"철국",K90:K109)+SUMIF(AK90:AK109,"철공",K90:K109)</f>
        <v>0</v>
      </c>
      <c r="AE109" s="72"/>
      <c r="AF109" s="73"/>
      <c r="AG109" s="72"/>
      <c r="AH109" s="72"/>
      <c r="AI109" s="73"/>
      <c r="AJ109" s="64" t="str">
        <f t="shared" si="20"/>
        <v/>
      </c>
      <c r="AK109" s="64" t="str">
        <f t="shared" si="16"/>
        <v/>
      </c>
      <c r="AL109" s="66"/>
      <c r="AM109" s="66"/>
    </row>
    <row r="110" spans="1:39" s="57" customFormat="1" ht="24" customHeight="1" thickBot="1" x14ac:dyDescent="0.2">
      <c r="A110" s="103" t="s">
        <v>48</v>
      </c>
      <c r="B110" s="103"/>
      <c r="C110" s="103"/>
      <c r="D110" s="103"/>
      <c r="E110" s="103"/>
      <c r="F110" s="104">
        <f>SUM(F90:F109)</f>
        <v>0</v>
      </c>
      <c r="G110" s="103"/>
      <c r="H110" s="103"/>
      <c r="I110" s="105"/>
      <c r="J110" s="103"/>
      <c r="K110" s="104">
        <f>SUM(K90:K109)</f>
        <v>0</v>
      </c>
      <c r="L110" s="106"/>
      <c r="M110" s="106"/>
      <c r="N110" s="447"/>
      <c r="O110" s="447"/>
      <c r="P110" s="106"/>
      <c r="Q110" s="106"/>
      <c r="R110" s="106"/>
      <c r="S110" s="107"/>
      <c r="T110" s="62" t="s">
        <v>24</v>
      </c>
      <c r="U110" s="63">
        <f t="shared" ref="U110:AA110" si="21">SUM(U90:U109)</f>
        <v>0</v>
      </c>
      <c r="V110" s="63">
        <f t="shared" si="21"/>
        <v>0</v>
      </c>
      <c r="W110" s="63">
        <f t="shared" si="21"/>
        <v>0</v>
      </c>
      <c r="X110" s="63">
        <f t="shared" si="21"/>
        <v>0</v>
      </c>
      <c r="Y110" s="63">
        <f t="shared" si="21"/>
        <v>0</v>
      </c>
      <c r="Z110" s="277">
        <f t="shared" si="21"/>
        <v>0</v>
      </c>
      <c r="AA110" s="278">
        <f t="shared" si="21"/>
        <v>0</v>
      </c>
      <c r="AB110" s="277" t="s">
        <v>26</v>
      </c>
      <c r="AC110" s="277">
        <f>SUM(AC90:AC109)</f>
        <v>0</v>
      </c>
      <c r="AD110" s="278">
        <f>SUM(AD90:AD109)</f>
        <v>0</v>
      </c>
      <c r="AE110" s="63">
        <f>SUM(AE90:AE109)</f>
        <v>0</v>
      </c>
      <c r="AF110" s="63">
        <f>SUM(AF90:AF109)</f>
        <v>0</v>
      </c>
      <c r="AG110" s="63" t="s">
        <v>26</v>
      </c>
      <c r="AH110" s="63">
        <f>SUM(AH90:AH109)</f>
        <v>0</v>
      </c>
      <c r="AI110" s="63">
        <f>SUM(AI90:AI109)</f>
        <v>0</v>
      </c>
      <c r="AJ110" s="63"/>
      <c r="AK110" s="64" t="str">
        <f t="shared" si="16"/>
        <v/>
      </c>
    </row>
    <row r="111" spans="1:39" s="67" customFormat="1" ht="24" customHeight="1" x14ac:dyDescent="0.15">
      <c r="A111" s="260">
        <v>101</v>
      </c>
      <c r="B111" s="215"/>
      <c r="C111" s="145"/>
      <c r="D111" s="279"/>
      <c r="E111" s="280"/>
      <c r="F111" s="280"/>
      <c r="G111" s="281"/>
      <c r="H111" s="282"/>
      <c r="I111" s="283"/>
      <c r="J111" s="284"/>
      <c r="K111" s="284"/>
      <c r="L111" s="158"/>
      <c r="M111" s="158"/>
      <c r="N111" s="448"/>
      <c r="O111" s="448"/>
      <c r="P111" s="145"/>
      <c r="Q111" s="152"/>
      <c r="R111" s="145"/>
      <c r="S111" s="285"/>
      <c r="T111" s="64" t="s">
        <v>27</v>
      </c>
      <c r="U111" s="64">
        <f>COUNTIF(D111:D130,"전")</f>
        <v>0</v>
      </c>
      <c r="V111" s="65">
        <f>COUNTIF(I111:I130,"전")</f>
        <v>0</v>
      </c>
      <c r="W111" s="64" t="s">
        <v>26</v>
      </c>
      <c r="X111" s="64">
        <f>SUMIF(D111:D130,"전",F111:F130)</f>
        <v>0</v>
      </c>
      <c r="Y111" s="65">
        <f>SUMIF(I111:I130,"전",K111:K130)</f>
        <v>0</v>
      </c>
      <c r="Z111" s="64">
        <f>COUNTIF(AJ111:AJ130,"전국")+COUNTIF(AJ111:AJ130,"전공")</f>
        <v>0</v>
      </c>
      <c r="AA111" s="65">
        <f>COUNTIF(AK111:AK130,"전국")+COUNTIF(AK111:AK130,"전공")</f>
        <v>0</v>
      </c>
      <c r="AB111" s="64" t="s">
        <v>26</v>
      </c>
      <c r="AC111" s="64">
        <f>SUMIF(AJ111:AJ130,"전국",F111:F130)+SUMIF(AJ111:AJ130,"전공",F111:F130)</f>
        <v>0</v>
      </c>
      <c r="AD111" s="65">
        <f>SUMIF(AK111:AK130,"전국",K111:K130)+SUMIF(AK111:AK130,"전공",K111:K130)</f>
        <v>0</v>
      </c>
      <c r="AE111" s="64">
        <f t="shared" ref="AE111:AF127" si="22">U111-Z111</f>
        <v>0</v>
      </c>
      <c r="AF111" s="65">
        <f t="shared" si="22"/>
        <v>0</v>
      </c>
      <c r="AG111" s="64" t="s">
        <v>26</v>
      </c>
      <c r="AH111" s="64">
        <f t="shared" ref="AH111:AI127" si="23">X111-AC111</f>
        <v>0</v>
      </c>
      <c r="AI111" s="65">
        <f t="shared" si="23"/>
        <v>0</v>
      </c>
      <c r="AJ111" s="64" t="str">
        <f t="shared" ref="AJ111:AJ130" si="24">CONCATENATE(D111,L111)</f>
        <v/>
      </c>
      <c r="AK111" s="64" t="str">
        <f t="shared" si="16"/>
        <v/>
      </c>
    </row>
    <row r="112" spans="1:39" s="67" customFormat="1" ht="24" customHeight="1" x14ac:dyDescent="0.15">
      <c r="A112" s="254">
        <v>102</v>
      </c>
      <c r="B112" s="222"/>
      <c r="C112" s="132"/>
      <c r="D112" s="274"/>
      <c r="E112" s="265"/>
      <c r="F112" s="265"/>
      <c r="G112" s="266"/>
      <c r="H112" s="267"/>
      <c r="I112" s="275"/>
      <c r="J112" s="269"/>
      <c r="K112" s="269"/>
      <c r="L112" s="155"/>
      <c r="M112" s="156"/>
      <c r="N112" s="439"/>
      <c r="O112" s="476"/>
      <c r="P112" s="102"/>
      <c r="Q112" s="132"/>
      <c r="R112" s="132"/>
      <c r="S112" s="264"/>
      <c r="T112" s="64" t="s">
        <v>28</v>
      </c>
      <c r="U112" s="64">
        <f>COUNTIF(D111:D130,"답")</f>
        <v>0</v>
      </c>
      <c r="V112" s="65">
        <f>COUNTIF(I111:I130,"답")</f>
        <v>0</v>
      </c>
      <c r="W112" s="64" t="s">
        <v>26</v>
      </c>
      <c r="X112" s="64">
        <f>SUMIF(D111:D130,"답",F111:F130)</f>
        <v>0</v>
      </c>
      <c r="Y112" s="65">
        <f>SUMIF(I111:I130,"답",K111:K130)</f>
        <v>0</v>
      </c>
      <c r="Z112" s="64">
        <f>COUNTIF(AJ111:AJ130,"답국")+COUNTIF(AJ111:AJ130,"답공")</f>
        <v>0</v>
      </c>
      <c r="AA112" s="65">
        <f>COUNTIF(AK111:AK130,"답국")+COUNTIF(AK111:AK130,"답공")</f>
        <v>0</v>
      </c>
      <c r="AB112" s="64" t="s">
        <v>26</v>
      </c>
      <c r="AC112" s="64">
        <f>SUMIF(AJ111:AJ130,"답국",F111:F130)+SUMIF(AJ111:AJ130,"답공",F111:F130)</f>
        <v>0</v>
      </c>
      <c r="AD112" s="65">
        <f>SUMIF(AK111:AK130,"답국",K111:K130)+SUMIF(AK111:AK130,"답공",K111:K130)</f>
        <v>0</v>
      </c>
      <c r="AE112" s="64">
        <f t="shared" si="22"/>
        <v>0</v>
      </c>
      <c r="AF112" s="65">
        <f t="shared" si="22"/>
        <v>0</v>
      </c>
      <c r="AG112" s="64" t="s">
        <v>26</v>
      </c>
      <c r="AH112" s="64">
        <f t="shared" si="23"/>
        <v>0</v>
      </c>
      <c r="AI112" s="65">
        <f t="shared" si="23"/>
        <v>0</v>
      </c>
      <c r="AJ112" s="64" t="str">
        <f t="shared" si="24"/>
        <v/>
      </c>
      <c r="AK112" s="64" t="str">
        <f t="shared" si="16"/>
        <v/>
      </c>
    </row>
    <row r="113" spans="1:39" s="67" customFormat="1" ht="24" customHeight="1" x14ac:dyDescent="0.15">
      <c r="A113" s="254">
        <v>103</v>
      </c>
      <c r="B113" s="222"/>
      <c r="C113" s="136"/>
      <c r="D113" s="133"/>
      <c r="E113" s="265"/>
      <c r="F113" s="230"/>
      <c r="G113" s="224"/>
      <c r="H113" s="232"/>
      <c r="I113" s="233"/>
      <c r="J113" s="269"/>
      <c r="K113" s="231"/>
      <c r="L113" s="155"/>
      <c r="M113" s="156"/>
      <c r="N113" s="439"/>
      <c r="O113" s="476"/>
      <c r="P113" s="123"/>
      <c r="Q113" s="123"/>
      <c r="R113" s="123"/>
      <c r="S113" s="253"/>
      <c r="T113" s="64" t="s">
        <v>44</v>
      </c>
      <c r="U113" s="64">
        <f>COUNTIF(D111:D130,"임")</f>
        <v>0</v>
      </c>
      <c r="V113" s="65">
        <f>COUNTIF(I111:I130,"임")</f>
        <v>0</v>
      </c>
      <c r="W113" s="64" t="s">
        <v>26</v>
      </c>
      <c r="X113" s="64">
        <f>SUMIF(D111:D130,"임",F111:F130)</f>
        <v>0</v>
      </c>
      <c r="Y113" s="65">
        <f>SUMIF(I111:I130,"임",K111:K130)</f>
        <v>0</v>
      </c>
      <c r="Z113" s="64">
        <f>COUNTIF(AJ111:AJ130,"임국")+COUNTIF(AJ111:AJ130,"임공")</f>
        <v>0</v>
      </c>
      <c r="AA113" s="65">
        <f>COUNTIF(AK111:AK130,"임국")+COUNTIF(AK111:AK130,"임공")</f>
        <v>0</v>
      </c>
      <c r="AB113" s="64" t="s">
        <v>26</v>
      </c>
      <c r="AC113" s="64">
        <f>SUMIF(AJ111:AJ130,"임국",F111:F130)+SUMIF(AJ111:AJ130,"임공",F111:F130)</f>
        <v>0</v>
      </c>
      <c r="AD113" s="65">
        <f>SUMIF(AK111:AK130,"임국",K111:K130)+SUMIF(AK111:AK130,"임공",K111:K130)</f>
        <v>0</v>
      </c>
      <c r="AE113" s="64">
        <f t="shared" si="22"/>
        <v>0</v>
      </c>
      <c r="AF113" s="65">
        <f t="shared" si="22"/>
        <v>0</v>
      </c>
      <c r="AG113" s="64" t="s">
        <v>26</v>
      </c>
      <c r="AH113" s="64">
        <f t="shared" si="23"/>
        <v>0</v>
      </c>
      <c r="AI113" s="65">
        <f t="shared" si="23"/>
        <v>0</v>
      </c>
      <c r="AJ113" s="64" t="str">
        <f t="shared" si="24"/>
        <v/>
      </c>
      <c r="AK113" s="64" t="str">
        <f t="shared" si="16"/>
        <v/>
      </c>
      <c r="AL113" s="66"/>
      <c r="AM113" s="66"/>
    </row>
    <row r="114" spans="1:39" s="67" customFormat="1" ht="24" customHeight="1" x14ac:dyDescent="0.15">
      <c r="A114" s="273" t="s">
        <v>165</v>
      </c>
      <c r="B114" s="222"/>
      <c r="C114" s="132"/>
      <c r="D114" s="161"/>
      <c r="E114" s="265"/>
      <c r="F114" s="265"/>
      <c r="G114" s="266"/>
      <c r="H114" s="267"/>
      <c r="I114" s="268"/>
      <c r="J114" s="269"/>
      <c r="K114" s="269"/>
      <c r="L114" s="155"/>
      <c r="M114" s="156"/>
      <c r="N114" s="439"/>
      <c r="O114" s="476"/>
      <c r="P114" s="132"/>
      <c r="Q114" s="132"/>
      <c r="R114" s="132"/>
      <c r="S114" s="264"/>
      <c r="T114" s="64" t="s">
        <v>45</v>
      </c>
      <c r="U114" s="64">
        <f>COUNTIF(D111:D130,"대")</f>
        <v>0</v>
      </c>
      <c r="V114" s="65">
        <f>COUNTIF(I111:I130,"대")</f>
        <v>0</v>
      </c>
      <c r="W114" s="64" t="s">
        <v>26</v>
      </c>
      <c r="X114" s="64">
        <f>SUMIF(D111:D130,"대",F111:F130)</f>
        <v>0</v>
      </c>
      <c r="Y114" s="65">
        <f>SUMIF(I111:I130,"대",K111:K130)</f>
        <v>0</v>
      </c>
      <c r="Z114" s="64">
        <f>COUNTIF(AJ111:AJ130,"대국")+COUNTIF(AJ111:AJ130,"대공")</f>
        <v>0</v>
      </c>
      <c r="AA114" s="65">
        <f>COUNTIF(AK111:AK130,"대국")+COUNTIF(AK111:AK130,"대공")</f>
        <v>0</v>
      </c>
      <c r="AB114" s="64" t="s">
        <v>26</v>
      </c>
      <c r="AC114" s="64">
        <f>SUMIF(AJ111:AJ130,"대국",F111:F130)+SUMIF(AJ111:AJ130,"대공",F111:F130)</f>
        <v>0</v>
      </c>
      <c r="AD114" s="65">
        <f>SUMIF(AK111:AK130,"대국",K111:K130)+SUMIF(AK111:AK130,"대공",K111:K130)</f>
        <v>0</v>
      </c>
      <c r="AE114" s="64">
        <f t="shared" si="22"/>
        <v>0</v>
      </c>
      <c r="AF114" s="65">
        <f t="shared" si="22"/>
        <v>0</v>
      </c>
      <c r="AG114" s="64" t="s">
        <v>26</v>
      </c>
      <c r="AH114" s="64">
        <f t="shared" si="23"/>
        <v>0</v>
      </c>
      <c r="AI114" s="65">
        <f t="shared" si="23"/>
        <v>0</v>
      </c>
      <c r="AJ114" s="64" t="str">
        <f t="shared" si="24"/>
        <v/>
      </c>
      <c r="AK114" s="64" t="str">
        <f t="shared" si="16"/>
        <v/>
      </c>
      <c r="AL114" s="66"/>
      <c r="AM114" s="66"/>
    </row>
    <row r="115" spans="1:39" s="67" customFormat="1" ht="24" customHeight="1" x14ac:dyDescent="0.15">
      <c r="A115" s="273" t="s">
        <v>166</v>
      </c>
      <c r="B115" s="222"/>
      <c r="C115" s="132"/>
      <c r="D115" s="274"/>
      <c r="E115" s="265"/>
      <c r="F115" s="265"/>
      <c r="G115" s="266"/>
      <c r="H115" s="267"/>
      <c r="I115" s="275"/>
      <c r="J115" s="269"/>
      <c r="K115" s="269"/>
      <c r="L115" s="155"/>
      <c r="M115" s="156"/>
      <c r="N115" s="439"/>
      <c r="O115" s="476"/>
      <c r="P115" s="132"/>
      <c r="Q115" s="132"/>
      <c r="R115" s="132"/>
      <c r="S115" s="206"/>
      <c r="T115" s="64" t="s">
        <v>31</v>
      </c>
      <c r="U115" s="64">
        <f>COUNTIF(D111:D130,"도")</f>
        <v>0</v>
      </c>
      <c r="V115" s="65">
        <f>COUNTIF(I111:I130,"도")</f>
        <v>0</v>
      </c>
      <c r="W115" s="64" t="s">
        <v>26</v>
      </c>
      <c r="X115" s="64">
        <f>SUMIF(D111:D130,"도",F111:F130)</f>
        <v>0</v>
      </c>
      <c r="Y115" s="65">
        <f>SUMIF(I111:I130,"도",K111:K130)</f>
        <v>0</v>
      </c>
      <c r="Z115" s="64">
        <f>COUNTIF(AJ111:AJ130,"도국")+COUNTIF(AJ111:AJ130,"도공")</f>
        <v>0</v>
      </c>
      <c r="AA115" s="65">
        <f>COUNTIF(AK111:AK130,"도국")+COUNTIF(AK111:AK130,"도공")</f>
        <v>0</v>
      </c>
      <c r="AB115" s="64" t="s">
        <v>26</v>
      </c>
      <c r="AC115" s="64">
        <f>SUMIF(AJ111:AJ130,"도국",F111:F130)+SUMIF(AJ111:AJ130,"도공",F111:F130)</f>
        <v>0</v>
      </c>
      <c r="AD115" s="65">
        <f>SUMIF(AK111:AK130,"도국",K111:K130)+SUMIF(AK111:AK130,"도공",K111:K130)</f>
        <v>0</v>
      </c>
      <c r="AE115" s="64">
        <f t="shared" si="22"/>
        <v>0</v>
      </c>
      <c r="AF115" s="65">
        <f t="shared" si="22"/>
        <v>0</v>
      </c>
      <c r="AG115" s="64" t="s">
        <v>26</v>
      </c>
      <c r="AH115" s="64">
        <f t="shared" si="23"/>
        <v>0</v>
      </c>
      <c r="AI115" s="65">
        <f t="shared" si="23"/>
        <v>0</v>
      </c>
      <c r="AJ115" s="64" t="str">
        <f t="shared" si="24"/>
        <v/>
      </c>
      <c r="AK115" s="64" t="str">
        <f t="shared" si="16"/>
        <v/>
      </c>
      <c r="AL115" s="66"/>
      <c r="AM115" s="66"/>
    </row>
    <row r="116" spans="1:39" s="67" customFormat="1" ht="24" customHeight="1" x14ac:dyDescent="0.15">
      <c r="A116" s="273" t="s">
        <v>167</v>
      </c>
      <c r="B116" s="222"/>
      <c r="C116" s="132"/>
      <c r="D116" s="161"/>
      <c r="E116" s="265"/>
      <c r="F116" s="265"/>
      <c r="G116" s="266"/>
      <c r="H116" s="267"/>
      <c r="I116" s="268"/>
      <c r="J116" s="269"/>
      <c r="K116" s="269"/>
      <c r="L116" s="155"/>
      <c r="M116" s="156"/>
      <c r="N116" s="439"/>
      <c r="O116" s="446"/>
      <c r="P116" s="102"/>
      <c r="Q116" s="132"/>
      <c r="R116" s="132"/>
      <c r="S116" s="206"/>
      <c r="T116" s="64" t="s">
        <v>32</v>
      </c>
      <c r="U116" s="68">
        <f>COUNTIF(D111:D130,"천")</f>
        <v>0</v>
      </c>
      <c r="V116" s="69">
        <f>COUNTIF(I111:I130,"천")</f>
        <v>0</v>
      </c>
      <c r="W116" s="64" t="s">
        <v>26</v>
      </c>
      <c r="X116" s="64">
        <f>SUMIF(D111:D130,"천",F111:F130)</f>
        <v>0</v>
      </c>
      <c r="Y116" s="65">
        <f>SUMIF(I111:I130,"천",K111:K130)</f>
        <v>0</v>
      </c>
      <c r="Z116" s="64">
        <f>COUNTIF(AJ111:AJ130,"천국")+COUNTIF(AJ111:AJ130,"천공")</f>
        <v>0</v>
      </c>
      <c r="AA116" s="65">
        <f>COUNTIF(AK111:AK130,"천국")+COUNTIF(AK111:AK130,"천공")</f>
        <v>0</v>
      </c>
      <c r="AB116" s="64" t="s">
        <v>26</v>
      </c>
      <c r="AC116" s="64">
        <f>SUMIF(AJ111:AJ130,"천국",F111:F130)+SUMIF(AJ111:AJ130,"천공",F111:F130)</f>
        <v>0</v>
      </c>
      <c r="AD116" s="65">
        <f>SUMIF(AK111:AK130,"천국",K111:K130)+SUMIF(AK111:AK130,"천공",K111:K130)</f>
        <v>0</v>
      </c>
      <c r="AE116" s="64">
        <f t="shared" si="22"/>
        <v>0</v>
      </c>
      <c r="AF116" s="65">
        <f t="shared" si="22"/>
        <v>0</v>
      </c>
      <c r="AG116" s="64" t="s">
        <v>26</v>
      </c>
      <c r="AH116" s="64">
        <f t="shared" si="23"/>
        <v>0</v>
      </c>
      <c r="AI116" s="65">
        <f t="shared" si="23"/>
        <v>0</v>
      </c>
      <c r="AJ116" s="64" t="str">
        <f t="shared" si="24"/>
        <v/>
      </c>
      <c r="AK116" s="64" t="str">
        <f t="shared" si="16"/>
        <v/>
      </c>
      <c r="AL116" s="66"/>
      <c r="AM116" s="66"/>
    </row>
    <row r="117" spans="1:39" s="67" customFormat="1" ht="24" customHeight="1" x14ac:dyDescent="0.15">
      <c r="A117" s="273" t="s">
        <v>168</v>
      </c>
      <c r="B117" s="222"/>
      <c r="C117" s="132"/>
      <c r="D117" s="161"/>
      <c r="E117" s="265"/>
      <c r="F117" s="265"/>
      <c r="G117" s="266"/>
      <c r="H117" s="267"/>
      <c r="I117" s="268"/>
      <c r="J117" s="269"/>
      <c r="K117" s="269"/>
      <c r="L117" s="155"/>
      <c r="M117" s="156"/>
      <c r="N117" s="439"/>
      <c r="O117" s="476"/>
      <c r="P117" s="123"/>
      <c r="Q117" s="123"/>
      <c r="R117" s="123"/>
      <c r="S117" s="264"/>
      <c r="T117" s="64" t="s">
        <v>33</v>
      </c>
      <c r="U117" s="64">
        <f>COUNTIF(D111:D130,"구")</f>
        <v>0</v>
      </c>
      <c r="V117" s="65">
        <f>COUNTIF(I111:I130,"구")</f>
        <v>0</v>
      </c>
      <c r="W117" s="64" t="s">
        <v>26</v>
      </c>
      <c r="X117" s="64">
        <f>SUMIF(D111:D130,"구",F111:F130)</f>
        <v>0</v>
      </c>
      <c r="Y117" s="65">
        <f>SUMIF(I111:I130,"구",K111:K130)</f>
        <v>0</v>
      </c>
      <c r="Z117" s="64">
        <f>COUNTIF(AJ111:AJ130,"구국")+COUNTIF(AJ111:AJ130,"구공")</f>
        <v>0</v>
      </c>
      <c r="AA117" s="65">
        <f>COUNTIF(AK111:AK130,"구국")+COUNTIF(AK111:AK130,"구공")</f>
        <v>0</v>
      </c>
      <c r="AB117" s="64" t="s">
        <v>26</v>
      </c>
      <c r="AC117" s="64">
        <f>SUMIF(AJ111:AJ130,"구국",F111:F130)+SUMIF(AJ111:AJ130,"구공",F111:F130)</f>
        <v>0</v>
      </c>
      <c r="AD117" s="65">
        <f>SUMIF(AK111:AK130,"구국",K111:K130)+SUMIF(AK111:AK130,"구공",K111:K130)</f>
        <v>0</v>
      </c>
      <c r="AE117" s="64">
        <f t="shared" si="22"/>
        <v>0</v>
      </c>
      <c r="AF117" s="65">
        <f t="shared" si="22"/>
        <v>0</v>
      </c>
      <c r="AG117" s="64" t="s">
        <v>26</v>
      </c>
      <c r="AH117" s="64">
        <f t="shared" si="23"/>
        <v>0</v>
      </c>
      <c r="AI117" s="65">
        <f t="shared" si="23"/>
        <v>0</v>
      </c>
      <c r="AJ117" s="64" t="str">
        <f t="shared" si="24"/>
        <v/>
      </c>
      <c r="AK117" s="64" t="str">
        <f t="shared" si="16"/>
        <v/>
      </c>
      <c r="AL117" s="66"/>
      <c r="AM117" s="66"/>
    </row>
    <row r="118" spans="1:39" s="67" customFormat="1" ht="24" customHeight="1" x14ac:dyDescent="0.15">
      <c r="A118" s="273" t="s">
        <v>169</v>
      </c>
      <c r="B118" s="222"/>
      <c r="C118" s="132"/>
      <c r="D118" s="161"/>
      <c r="E118" s="286"/>
      <c r="F118" s="265"/>
      <c r="G118" s="287"/>
      <c r="H118" s="267"/>
      <c r="I118" s="268"/>
      <c r="J118" s="288"/>
      <c r="K118" s="269"/>
      <c r="L118" s="155"/>
      <c r="M118" s="155"/>
      <c r="N118" s="439"/>
      <c r="O118" s="439"/>
      <c r="P118" s="132"/>
      <c r="Q118" s="132"/>
      <c r="R118" s="132"/>
      <c r="S118" s="264"/>
      <c r="T118" s="64" t="s">
        <v>34</v>
      </c>
      <c r="U118" s="64">
        <f>COUNTIF(D111:D130,"제")</f>
        <v>0</v>
      </c>
      <c r="V118" s="65">
        <f>COUNTIF(I111:I130,"제")</f>
        <v>0</v>
      </c>
      <c r="W118" s="64" t="s">
        <v>26</v>
      </c>
      <c r="X118" s="64">
        <f>SUMIF(D111:D130,"제",F111:F130)</f>
        <v>0</v>
      </c>
      <c r="Y118" s="65">
        <f>SUMIF(I111:I130,"제",K111:K130)</f>
        <v>0</v>
      </c>
      <c r="Z118" s="64">
        <f>COUNTIF(AJ111:AJ130,"제국")+COUNTIF(AJ111:AJ130,"제공")</f>
        <v>0</v>
      </c>
      <c r="AA118" s="65">
        <f>COUNTIF(AK111:AK130,"제국")+COUNTIF(AK111:AK130,"제공")</f>
        <v>0</v>
      </c>
      <c r="AB118" s="64" t="s">
        <v>26</v>
      </c>
      <c r="AC118" s="64">
        <f>SUMIF(AJ111:AJ130,"제국",F111:F130)+SUMIF(AJ111:AJ130,"제공",F111:F130)</f>
        <v>0</v>
      </c>
      <c r="AD118" s="65">
        <f>SUMIF(AK111:AK130,"제국",K111:K130)+SUMIF(AK111:AK130,"제공",K111:K130)</f>
        <v>0</v>
      </c>
      <c r="AE118" s="64">
        <f t="shared" si="22"/>
        <v>0</v>
      </c>
      <c r="AF118" s="65">
        <f t="shared" si="22"/>
        <v>0</v>
      </c>
      <c r="AG118" s="64" t="s">
        <v>26</v>
      </c>
      <c r="AH118" s="64">
        <f t="shared" si="23"/>
        <v>0</v>
      </c>
      <c r="AI118" s="65">
        <f t="shared" si="23"/>
        <v>0</v>
      </c>
      <c r="AJ118" s="64" t="str">
        <f t="shared" si="24"/>
        <v/>
      </c>
      <c r="AK118" s="64" t="str">
        <f t="shared" si="16"/>
        <v/>
      </c>
      <c r="AL118" s="66"/>
      <c r="AM118" s="66"/>
    </row>
    <row r="119" spans="1:39" s="67" customFormat="1" ht="24" customHeight="1" x14ac:dyDescent="0.15">
      <c r="A119" s="273" t="s">
        <v>170</v>
      </c>
      <c r="B119" s="222"/>
      <c r="C119" s="132"/>
      <c r="D119" s="161"/>
      <c r="E119" s="230"/>
      <c r="F119" s="230"/>
      <c r="G119" s="224"/>
      <c r="H119" s="267"/>
      <c r="I119" s="268"/>
      <c r="J119" s="231"/>
      <c r="K119" s="231"/>
      <c r="L119" s="289"/>
      <c r="M119" s="234"/>
      <c r="N119" s="449"/>
      <c r="O119" s="426"/>
      <c r="P119" s="132"/>
      <c r="Q119" s="132"/>
      <c r="R119" s="132"/>
      <c r="S119" s="264"/>
      <c r="T119" s="64" t="s">
        <v>46</v>
      </c>
      <c r="U119" s="64">
        <f>COUNTIF(D111:D130,"유")</f>
        <v>0</v>
      </c>
      <c r="V119" s="65">
        <f>COUNTIF(I111:I130,"유")</f>
        <v>0</v>
      </c>
      <c r="W119" s="64" t="s">
        <v>26</v>
      </c>
      <c r="X119" s="64">
        <f>SUMIF(D111:D130,"유",F111:F130)</f>
        <v>0</v>
      </c>
      <c r="Y119" s="65">
        <f>SUMIF(I111:I130,"유",K111:K130)</f>
        <v>0</v>
      </c>
      <c r="Z119" s="64">
        <f>COUNTIF(AJ111:AJ130,"유국")+COUNTIF(AJ111:AJ130,"유공")</f>
        <v>0</v>
      </c>
      <c r="AA119" s="65">
        <f>COUNTIF(AK111:AK130,"유국")+COUNTIF(AK111:AK130,"유공")</f>
        <v>0</v>
      </c>
      <c r="AB119" s="64" t="s">
        <v>26</v>
      </c>
      <c r="AC119" s="64">
        <f>SUMIF(AJ111:AJ130,"유국",F111:F130)+SUMIF(AJ111:AJ130,"유공",F111:F130)</f>
        <v>0</v>
      </c>
      <c r="AD119" s="65">
        <f>SUMIF(AK111:AK130,"유국",K111:K130)+SUMIF(AK111:AK130,"유공",K111:K130)</f>
        <v>0</v>
      </c>
      <c r="AE119" s="64">
        <f t="shared" si="22"/>
        <v>0</v>
      </c>
      <c r="AF119" s="65">
        <f t="shared" si="22"/>
        <v>0</v>
      </c>
      <c r="AG119" s="64" t="s">
        <v>26</v>
      </c>
      <c r="AH119" s="64">
        <f t="shared" si="23"/>
        <v>0</v>
      </c>
      <c r="AI119" s="65">
        <f t="shared" si="23"/>
        <v>0</v>
      </c>
      <c r="AJ119" s="64" t="str">
        <f t="shared" si="24"/>
        <v/>
      </c>
      <c r="AK119" s="64" t="str">
        <f t="shared" si="16"/>
        <v/>
      </c>
      <c r="AL119" s="66"/>
      <c r="AM119" s="66"/>
    </row>
    <row r="120" spans="1:39" s="67" customFormat="1" ht="24" customHeight="1" x14ac:dyDescent="0.15">
      <c r="A120" s="273" t="s">
        <v>171</v>
      </c>
      <c r="B120" s="222"/>
      <c r="C120" s="136"/>
      <c r="D120" s="274"/>
      <c r="E120" s="265"/>
      <c r="F120" s="265"/>
      <c r="G120" s="266"/>
      <c r="H120" s="232"/>
      <c r="I120" s="275"/>
      <c r="J120" s="269"/>
      <c r="K120" s="269"/>
      <c r="L120" s="128"/>
      <c r="M120" s="128"/>
      <c r="N120" s="425"/>
      <c r="O120" s="428"/>
      <c r="P120" s="132"/>
      <c r="Q120" s="102"/>
      <c r="R120" s="132"/>
      <c r="S120" s="264"/>
      <c r="T120" s="64" t="s">
        <v>47</v>
      </c>
      <c r="U120" s="64">
        <f>COUNTIF(D111:D130,"과")</f>
        <v>0</v>
      </c>
      <c r="V120" s="65">
        <f>COUNTIF(I111:I130,"과")</f>
        <v>0</v>
      </c>
      <c r="W120" s="64" t="s">
        <v>26</v>
      </c>
      <c r="X120" s="64">
        <f>SUMIF(D111:D130,"과",F111:F130)</f>
        <v>0</v>
      </c>
      <c r="Y120" s="65">
        <f>SUMIF(I111:I130,"과",K111:K130)</f>
        <v>0</v>
      </c>
      <c r="Z120" s="64">
        <f>COUNTIF(AJ111:AJ130,"과국")+COUNTIF(AJ111:AJ130,"과공")</f>
        <v>0</v>
      </c>
      <c r="AA120" s="65">
        <f>COUNTIF(AK111:AK130,"과국")+COUNTIF(AK111:AK130,"과공")</f>
        <v>0</v>
      </c>
      <c r="AB120" s="64" t="s">
        <v>26</v>
      </c>
      <c r="AC120" s="64">
        <f>SUMIF(AJ111:AJ130,"과국",F111:F130)+SUMIF(AJ111:AJ130,"과공",F111:F130)</f>
        <v>0</v>
      </c>
      <c r="AD120" s="65">
        <f>SUMIF(AK111:AK130,"과국",K111:K130)+SUMIF(AK111:AK130,"과공",K111:K130)</f>
        <v>0</v>
      </c>
      <c r="AE120" s="64">
        <f t="shared" si="22"/>
        <v>0</v>
      </c>
      <c r="AF120" s="65">
        <f t="shared" si="22"/>
        <v>0</v>
      </c>
      <c r="AG120" s="64" t="s">
        <v>26</v>
      </c>
      <c r="AH120" s="64">
        <f t="shared" si="23"/>
        <v>0</v>
      </c>
      <c r="AI120" s="65">
        <f t="shared" si="23"/>
        <v>0</v>
      </c>
      <c r="AJ120" s="64" t="str">
        <f t="shared" si="24"/>
        <v/>
      </c>
      <c r="AK120" s="64" t="str">
        <f t="shared" si="16"/>
        <v/>
      </c>
      <c r="AL120" s="66"/>
      <c r="AM120" s="66"/>
    </row>
    <row r="121" spans="1:39" s="67" customFormat="1" ht="24" customHeight="1" x14ac:dyDescent="0.15">
      <c r="A121" s="273" t="s">
        <v>172</v>
      </c>
      <c r="B121" s="222"/>
      <c r="C121" s="132"/>
      <c r="D121" s="161"/>
      <c r="E121" s="265"/>
      <c r="F121" s="230"/>
      <c r="G121" s="224"/>
      <c r="H121" s="267"/>
      <c r="I121" s="268"/>
      <c r="J121" s="269"/>
      <c r="K121" s="231"/>
      <c r="L121" s="123"/>
      <c r="M121" s="234"/>
      <c r="N121" s="430"/>
      <c r="O121" s="427"/>
      <c r="P121" s="132"/>
      <c r="Q121" s="132"/>
      <c r="R121" s="132"/>
      <c r="S121" s="264"/>
      <c r="T121" s="64" t="s">
        <v>36</v>
      </c>
      <c r="U121" s="64">
        <f>COUNTIF(D111:D130,"묘")</f>
        <v>0</v>
      </c>
      <c r="V121" s="65">
        <f>COUNTIF(I111:I130,"묘")</f>
        <v>0</v>
      </c>
      <c r="W121" s="64" t="s">
        <v>26</v>
      </c>
      <c r="X121" s="64">
        <f>SUMIF(D111:D130,"묘",F111:F130)</f>
        <v>0</v>
      </c>
      <c r="Y121" s="65">
        <f>SUMIF(I111:I130,"묘",K111:K130)</f>
        <v>0</v>
      </c>
      <c r="Z121" s="64">
        <f>COUNTIF(AJ111:AJ130,"묘국")+COUNTIF(AJ111:AJ130,"묘공")</f>
        <v>0</v>
      </c>
      <c r="AA121" s="65">
        <f>COUNTIF(AK111:AK130,"묘국")+COUNTIF(AK111:AK130,"묘공")</f>
        <v>0</v>
      </c>
      <c r="AB121" s="64" t="s">
        <v>26</v>
      </c>
      <c r="AC121" s="64">
        <f>SUMIF(AJ111:AJ130,"묘국",F111:F130)+SUMIF(AJ111:AJ130,"묘공",F111:F130)</f>
        <v>0</v>
      </c>
      <c r="AD121" s="65">
        <f>SUMIF(AK111:AK130,"묘국",K111:K130)+SUMIF(AK111:AK130,"묘공",K111:K130)</f>
        <v>0</v>
      </c>
      <c r="AE121" s="64">
        <f t="shared" si="22"/>
        <v>0</v>
      </c>
      <c r="AF121" s="65">
        <f t="shared" si="22"/>
        <v>0</v>
      </c>
      <c r="AG121" s="64" t="s">
        <v>26</v>
      </c>
      <c r="AH121" s="64">
        <f t="shared" si="23"/>
        <v>0</v>
      </c>
      <c r="AI121" s="65">
        <f t="shared" si="23"/>
        <v>0</v>
      </c>
      <c r="AJ121" s="64" t="str">
        <f t="shared" si="24"/>
        <v/>
      </c>
      <c r="AK121" s="64" t="str">
        <f t="shared" si="16"/>
        <v/>
      </c>
      <c r="AL121" s="66"/>
      <c r="AM121" s="66"/>
    </row>
    <row r="122" spans="1:39" s="67" customFormat="1" ht="24" customHeight="1" x14ac:dyDescent="0.15">
      <c r="A122" s="273" t="s">
        <v>175</v>
      </c>
      <c r="B122" s="222"/>
      <c r="C122" s="132"/>
      <c r="D122" s="161"/>
      <c r="E122" s="265"/>
      <c r="F122" s="230"/>
      <c r="G122" s="224"/>
      <c r="H122" s="267"/>
      <c r="I122" s="268"/>
      <c r="J122" s="269"/>
      <c r="K122" s="400"/>
      <c r="L122" s="123"/>
      <c r="M122" s="468"/>
      <c r="N122" s="430"/>
      <c r="O122" s="426"/>
      <c r="P122" s="132"/>
      <c r="Q122" s="132"/>
      <c r="R122" s="132"/>
      <c r="S122" s="206"/>
      <c r="T122" s="64" t="s">
        <v>39</v>
      </c>
      <c r="U122" s="64">
        <f>COUNTIF(D111:D130,"수")</f>
        <v>0</v>
      </c>
      <c r="V122" s="65">
        <f>COUNTIF(I111:I130,"수")</f>
        <v>0</v>
      </c>
      <c r="W122" s="64" t="s">
        <v>26</v>
      </c>
      <c r="X122" s="64">
        <f>SUMIF(D111:D130,"수",F111:F130)</f>
        <v>0</v>
      </c>
      <c r="Y122" s="65">
        <f>SUMIF(I111:I130,"수",K111:K130)</f>
        <v>0</v>
      </c>
      <c r="Z122" s="64">
        <f>COUNTIF(AJ111:AJ130,"수국")+COUNTIF(AJ111:AJ130,"수공")</f>
        <v>0</v>
      </c>
      <c r="AA122" s="65">
        <f>COUNTIF(AK111:AK130,"수국")+COUNTIF(AK111:AK130,"수공")</f>
        <v>0</v>
      </c>
      <c r="AB122" s="64" t="s">
        <v>26</v>
      </c>
      <c r="AC122" s="64">
        <f>SUMIF(AJ111:AJ130,"수국",F111:F130)+SUMIF(AJ111:AJ130,"수공",F111:F130)</f>
        <v>0</v>
      </c>
      <c r="AD122" s="65">
        <f>SUMIF(AK111:AK130,"수국",K111:K130)+SUMIF(AK111:AK130,"수공",K111:K130)</f>
        <v>0</v>
      </c>
      <c r="AE122" s="64">
        <f t="shared" si="22"/>
        <v>0</v>
      </c>
      <c r="AF122" s="65">
        <f t="shared" si="22"/>
        <v>0</v>
      </c>
      <c r="AG122" s="64" t="s">
        <v>26</v>
      </c>
      <c r="AH122" s="64">
        <f t="shared" si="23"/>
        <v>0</v>
      </c>
      <c r="AI122" s="65">
        <f t="shared" si="23"/>
        <v>0</v>
      </c>
      <c r="AJ122" s="64" t="str">
        <f t="shared" si="24"/>
        <v/>
      </c>
      <c r="AK122" s="64" t="str">
        <f t="shared" si="16"/>
        <v/>
      </c>
      <c r="AL122" s="66"/>
      <c r="AM122" s="66"/>
    </row>
    <row r="123" spans="1:39" s="67" customFormat="1" ht="24" customHeight="1" x14ac:dyDescent="0.15">
      <c r="A123" s="273" t="s">
        <v>103</v>
      </c>
      <c r="B123" s="222"/>
      <c r="C123" s="136"/>
      <c r="D123" s="133"/>
      <c r="E123" s="265"/>
      <c r="F123" s="265"/>
      <c r="G123" s="266"/>
      <c r="H123" s="232"/>
      <c r="I123" s="233"/>
      <c r="J123" s="269"/>
      <c r="K123" s="269"/>
      <c r="L123" s="128"/>
      <c r="M123" s="128"/>
      <c r="N123" s="425"/>
      <c r="O123" s="425"/>
      <c r="P123" s="153"/>
      <c r="Q123" s="153"/>
      <c r="R123" s="102"/>
      <c r="S123" s="264"/>
      <c r="T123" s="64" t="s">
        <v>35</v>
      </c>
      <c r="U123" s="64">
        <f>COUNTIF(D111:D130,"잡")</f>
        <v>0</v>
      </c>
      <c r="V123" s="65">
        <f>COUNTIF(I111:I130,"잡")</f>
        <v>0</v>
      </c>
      <c r="W123" s="64" t="s">
        <v>26</v>
      </c>
      <c r="X123" s="64">
        <f>SUMIF(D111:D130,"잡",F111:F130)</f>
        <v>0</v>
      </c>
      <c r="Y123" s="65">
        <f>SUMIF(I111:I130,"잡",K111:K130)</f>
        <v>0</v>
      </c>
      <c r="Z123" s="64">
        <f>COUNTIF(AJ111:AJ130,"잡국")+COUNTIF(AJ111:AJ130,"잡공")</f>
        <v>0</v>
      </c>
      <c r="AA123" s="65">
        <f>COUNTIF(AK111:AK130,"잡국")+COUNTIF(AK111:AK130,"잡공")</f>
        <v>0</v>
      </c>
      <c r="AB123" s="64" t="s">
        <v>26</v>
      </c>
      <c r="AC123" s="64">
        <f>SUMIF(AJ111:AJ130,"잡국",F111:F130)+SUMIF(AJ111:AJ130,"잡공",F111:F130)</f>
        <v>0</v>
      </c>
      <c r="AD123" s="65">
        <f>SUMIF(AK111:AK130,"잡국",K111:K130)+SUMIF(AK111:AK130,"잡공",K111:K130)</f>
        <v>0</v>
      </c>
      <c r="AE123" s="64">
        <f t="shared" si="22"/>
        <v>0</v>
      </c>
      <c r="AF123" s="65">
        <f t="shared" si="22"/>
        <v>0</v>
      </c>
      <c r="AG123" s="64" t="s">
        <v>26</v>
      </c>
      <c r="AH123" s="64">
        <f t="shared" si="23"/>
        <v>0</v>
      </c>
      <c r="AI123" s="65">
        <f t="shared" si="23"/>
        <v>0</v>
      </c>
      <c r="AJ123" s="64" t="str">
        <f t="shared" si="24"/>
        <v/>
      </c>
      <c r="AK123" s="64" t="str">
        <f t="shared" si="16"/>
        <v/>
      </c>
      <c r="AL123" s="66"/>
      <c r="AM123" s="66"/>
    </row>
    <row r="124" spans="1:39" s="67" customFormat="1" ht="24" customHeight="1" x14ac:dyDescent="0.15">
      <c r="A124" s="273" t="s">
        <v>176</v>
      </c>
      <c r="B124" s="222"/>
      <c r="C124" s="132"/>
      <c r="D124" s="161"/>
      <c r="E124" s="286"/>
      <c r="F124" s="265"/>
      <c r="G124" s="287"/>
      <c r="H124" s="267"/>
      <c r="I124" s="268"/>
      <c r="J124" s="288"/>
      <c r="K124" s="269"/>
      <c r="L124" s="155"/>
      <c r="M124" s="155"/>
      <c r="N124" s="439"/>
      <c r="O124" s="439"/>
      <c r="P124" s="132"/>
      <c r="Q124" s="132"/>
      <c r="R124" s="132"/>
      <c r="S124" s="264"/>
      <c r="T124" s="64" t="s">
        <v>195</v>
      </c>
      <c r="U124" s="64">
        <f>COUNTIF(D111:D130,"창")</f>
        <v>0</v>
      </c>
      <c r="V124" s="65">
        <f>COUNTIF(I111:I130,"창")</f>
        <v>0</v>
      </c>
      <c r="W124" s="64" t="s">
        <v>26</v>
      </c>
      <c r="X124" s="64">
        <f>SUMIF(D111:D130,"창",F111:F130)</f>
        <v>0</v>
      </c>
      <c r="Y124" s="65">
        <f>SUMIF(I111:I130,"창",K111:K130)</f>
        <v>0</v>
      </c>
      <c r="Z124" s="64">
        <f>COUNTIF(AJ111:AJ130,"창국")+COUNTIF(AJ111:AJ130,"창공")</f>
        <v>0</v>
      </c>
      <c r="AA124" s="65">
        <f>COUNTIF(AK111:AK130,"창국")+COUNTIF(AK111:AK130,"창공")</f>
        <v>0</v>
      </c>
      <c r="AB124" s="64" t="s">
        <v>26</v>
      </c>
      <c r="AC124" s="64">
        <f>SUMIF(AJ111:AJ130,"창국",F111:F130)+SUMIF(AJ111:AJ130,"창공",F111:F130)</f>
        <v>0</v>
      </c>
      <c r="AD124" s="65">
        <f>SUMIF(AK111:AK130,"창국",K111:K130)+SUMIF(AK111:AK130,"창공",K111:K130)</f>
        <v>0</v>
      </c>
      <c r="AE124" s="64">
        <f t="shared" si="22"/>
        <v>0</v>
      </c>
      <c r="AF124" s="65">
        <f t="shared" si="22"/>
        <v>0</v>
      </c>
      <c r="AG124" s="64" t="s">
        <v>26</v>
      </c>
      <c r="AH124" s="64">
        <f t="shared" si="23"/>
        <v>0</v>
      </c>
      <c r="AI124" s="65">
        <f t="shared" si="23"/>
        <v>0</v>
      </c>
      <c r="AJ124" s="64" t="str">
        <f t="shared" si="24"/>
        <v/>
      </c>
      <c r="AK124" s="64" t="str">
        <f t="shared" si="16"/>
        <v/>
      </c>
      <c r="AL124" s="66"/>
      <c r="AM124" s="66"/>
    </row>
    <row r="125" spans="1:39" s="67" customFormat="1" ht="24" customHeight="1" x14ac:dyDescent="0.15">
      <c r="A125" s="273" t="s">
        <v>177</v>
      </c>
      <c r="B125" s="222"/>
      <c r="C125" s="132"/>
      <c r="D125" s="274"/>
      <c r="E125" s="265"/>
      <c r="F125" s="265"/>
      <c r="G125" s="266"/>
      <c r="H125" s="267"/>
      <c r="I125" s="275"/>
      <c r="J125" s="269"/>
      <c r="K125" s="269"/>
      <c r="L125" s="155"/>
      <c r="M125" s="155"/>
      <c r="N125" s="439"/>
      <c r="O125" s="446"/>
      <c r="P125" s="132"/>
      <c r="Q125" s="132"/>
      <c r="R125" s="132"/>
      <c r="S125" s="264"/>
      <c r="T125" s="64" t="s">
        <v>194</v>
      </c>
      <c r="U125" s="64">
        <f>COUNTIF(D111:D130,"장")</f>
        <v>0</v>
      </c>
      <c r="V125" s="65">
        <f>COUNTIF(I111:I130,"장")</f>
        <v>0</v>
      </c>
      <c r="W125" s="64" t="s">
        <v>26</v>
      </c>
      <c r="X125" s="64">
        <f>SUMIF(D111:D130,"장",F111:F130)</f>
        <v>0</v>
      </c>
      <c r="Y125" s="65">
        <f>SUMIF(I111:I130,"장",K111:K130)</f>
        <v>0</v>
      </c>
      <c r="Z125" s="64">
        <f>COUNTIF(AJ111:AJ130,"장국")+COUNTIF(AJ111:AJ130,"장장")</f>
        <v>0</v>
      </c>
      <c r="AA125" s="65">
        <f>COUNTIF(AK111:AK130,"장국")+COUNTIF(AK111:AK130,"장장")</f>
        <v>0</v>
      </c>
      <c r="AB125" s="64" t="s">
        <v>26</v>
      </c>
      <c r="AC125" s="64">
        <f>SUMIF(AJ111:AJ130,"장국",F111:F130)+SUMIF(AJ111:AJ130,"장장",F111:F130)</f>
        <v>0</v>
      </c>
      <c r="AD125" s="65">
        <f>SUMIF(AK111:AK130,"장국",K111:K130)+SUMIF(AK111:AK130,"장장",K111:K130)</f>
        <v>0</v>
      </c>
      <c r="AE125" s="64">
        <f t="shared" si="22"/>
        <v>0</v>
      </c>
      <c r="AF125" s="65">
        <f t="shared" si="22"/>
        <v>0</v>
      </c>
      <c r="AG125" s="64" t="s">
        <v>26</v>
      </c>
      <c r="AH125" s="64">
        <f t="shared" si="23"/>
        <v>0</v>
      </c>
      <c r="AI125" s="65">
        <f t="shared" si="23"/>
        <v>0</v>
      </c>
      <c r="AJ125" s="64" t="str">
        <f t="shared" si="24"/>
        <v/>
      </c>
      <c r="AK125" s="64" t="str">
        <f t="shared" si="16"/>
        <v/>
      </c>
      <c r="AL125" s="66"/>
      <c r="AM125" s="66"/>
    </row>
    <row r="126" spans="1:39" s="67" customFormat="1" ht="24" customHeight="1" x14ac:dyDescent="0.15">
      <c r="A126" s="273" t="s">
        <v>104</v>
      </c>
      <c r="B126" s="222"/>
      <c r="C126" s="132"/>
      <c r="D126" s="274"/>
      <c r="E126" s="265"/>
      <c r="F126" s="265"/>
      <c r="G126" s="266"/>
      <c r="H126" s="267"/>
      <c r="I126" s="275"/>
      <c r="J126" s="269"/>
      <c r="K126" s="269"/>
      <c r="L126" s="155"/>
      <c r="M126" s="155"/>
      <c r="N126" s="439"/>
      <c r="O126" s="439"/>
      <c r="P126" s="132"/>
      <c r="Q126" s="132"/>
      <c r="R126" s="132"/>
      <c r="S126" s="206"/>
      <c r="T126" s="70" t="s">
        <v>193</v>
      </c>
      <c r="U126" s="64">
        <f>COUNTIF(D111:D130,"학")</f>
        <v>0</v>
      </c>
      <c r="V126" s="65">
        <f>COUNTIF(I111:I130,"학")</f>
        <v>0</v>
      </c>
      <c r="W126" s="64" t="s">
        <v>26</v>
      </c>
      <c r="X126" s="64">
        <f>SUMIF(D111:D130,"학",F111:F130)</f>
        <v>0</v>
      </c>
      <c r="Y126" s="65">
        <f>SUMIF(I111:I130,"학",K111:K130)</f>
        <v>0</v>
      </c>
      <c r="Z126" s="64">
        <f>COUNTIF(AJ111:AJ130,"학국")+COUNTIF(AJ111:AJ130,"학공")</f>
        <v>0</v>
      </c>
      <c r="AA126" s="65">
        <f>COUNTIF(AK111:AK130,"학국")+COUNTIF(AK111:AK130,"학공")</f>
        <v>0</v>
      </c>
      <c r="AB126" s="64" t="s">
        <v>26</v>
      </c>
      <c r="AC126" s="64">
        <f>SUMIF(AJ111:AJ130,"학국",F111:F130)+SUMIF(AJ111:AJ130,"학공",F111:F130)</f>
        <v>0</v>
      </c>
      <c r="AD126" s="65">
        <f>SUMIF(AK111:AK130,"학국",K111:K130)+SUMIF(AK111:AK130,"학공",K111:K130)</f>
        <v>0</v>
      </c>
      <c r="AE126" s="64">
        <f t="shared" si="22"/>
        <v>0</v>
      </c>
      <c r="AF126" s="65">
        <f t="shared" si="22"/>
        <v>0</v>
      </c>
      <c r="AG126" s="64" t="s">
        <v>26</v>
      </c>
      <c r="AH126" s="64">
        <f t="shared" si="23"/>
        <v>0</v>
      </c>
      <c r="AI126" s="65">
        <f t="shared" si="23"/>
        <v>0</v>
      </c>
      <c r="AJ126" s="64" t="str">
        <f t="shared" si="24"/>
        <v/>
      </c>
      <c r="AK126" s="64" t="str">
        <f t="shared" si="16"/>
        <v/>
      </c>
      <c r="AL126" s="66"/>
      <c r="AM126" s="66"/>
    </row>
    <row r="127" spans="1:39" s="67" customFormat="1" ht="24" customHeight="1" x14ac:dyDescent="0.15">
      <c r="A127" s="273" t="s">
        <v>105</v>
      </c>
      <c r="B127" s="222"/>
      <c r="C127" s="132"/>
      <c r="D127" s="274"/>
      <c r="E127" s="265"/>
      <c r="F127" s="265"/>
      <c r="G127" s="266"/>
      <c r="H127" s="267"/>
      <c r="I127" s="275"/>
      <c r="J127" s="269"/>
      <c r="K127" s="269"/>
      <c r="L127" s="155"/>
      <c r="M127" s="156"/>
      <c r="N127" s="439"/>
      <c r="O127" s="476"/>
      <c r="P127" s="102"/>
      <c r="Q127" s="132"/>
      <c r="R127" s="132"/>
      <c r="S127" s="276"/>
      <c r="T127" s="70" t="s">
        <v>79</v>
      </c>
      <c r="U127" s="64">
        <f>COUNTIF(D111:D130,"목")</f>
        <v>0</v>
      </c>
      <c r="V127" s="65">
        <f>COUNTIF(I111:I130,"목")</f>
        <v>0</v>
      </c>
      <c r="W127" s="64" t="s">
        <v>26</v>
      </c>
      <c r="X127" s="64">
        <f>SUMIF(D111:D130,"목",F111:F130)</f>
        <v>0</v>
      </c>
      <c r="Y127" s="65">
        <f>SUMIF(I111:I130,"목",K111:K130)</f>
        <v>0</v>
      </c>
      <c r="Z127" s="64">
        <f>COUNTIF(AJ111:AJ130,"목국")+COUNTIF(AJ111:AJ130,"목공")</f>
        <v>0</v>
      </c>
      <c r="AA127" s="65">
        <f>COUNTIF(AK111:AK130,"목국")+COUNTIF(AK111:AK130,"목공")</f>
        <v>0</v>
      </c>
      <c r="AB127" s="64" t="s">
        <v>26</v>
      </c>
      <c r="AC127" s="64">
        <f>SUMIF(AJ111:AJ130,"목국",F111:F130)+SUMIF(AJ111:AJ130,"목공",F111:F130)</f>
        <v>0</v>
      </c>
      <c r="AD127" s="65">
        <f>SUMIF(AK111:AK130,"목국",K111:K130)+SUMIF(AK111:AK130,"목공",K111:K130)</f>
        <v>0</v>
      </c>
      <c r="AE127" s="64">
        <f t="shared" si="22"/>
        <v>0</v>
      </c>
      <c r="AF127" s="65">
        <f t="shared" si="22"/>
        <v>0</v>
      </c>
      <c r="AG127" s="64" t="s">
        <v>26</v>
      </c>
      <c r="AH127" s="64">
        <f t="shared" si="23"/>
        <v>0</v>
      </c>
      <c r="AI127" s="65">
        <f t="shared" si="23"/>
        <v>0</v>
      </c>
      <c r="AJ127" s="64" t="str">
        <f t="shared" si="24"/>
        <v/>
      </c>
      <c r="AK127" s="64" t="str">
        <f t="shared" si="16"/>
        <v/>
      </c>
      <c r="AL127" s="66"/>
      <c r="AM127" s="66"/>
    </row>
    <row r="128" spans="1:39" s="67" customFormat="1" ht="24" customHeight="1" x14ac:dyDescent="0.15">
      <c r="A128" s="273" t="s">
        <v>106</v>
      </c>
      <c r="B128" s="222"/>
      <c r="C128" s="136"/>
      <c r="D128" s="133"/>
      <c r="E128" s="135"/>
      <c r="F128" s="135"/>
      <c r="G128" s="224"/>
      <c r="H128" s="232"/>
      <c r="I128" s="233"/>
      <c r="J128" s="227"/>
      <c r="K128" s="227"/>
      <c r="L128" s="128"/>
      <c r="M128" s="128"/>
      <c r="N128" s="425"/>
      <c r="O128" s="428"/>
      <c r="P128" s="132"/>
      <c r="Q128" s="132"/>
      <c r="R128" s="132"/>
      <c r="S128" s="264"/>
      <c r="T128" s="70"/>
      <c r="U128" s="70"/>
      <c r="V128" s="71"/>
      <c r="W128" s="70"/>
      <c r="X128" s="70"/>
      <c r="Y128" s="71"/>
      <c r="Z128" s="64"/>
      <c r="AA128" s="65"/>
      <c r="AB128" s="70"/>
      <c r="AC128" s="64"/>
      <c r="AD128" s="65"/>
      <c r="AE128" s="70"/>
      <c r="AF128" s="71"/>
      <c r="AG128" s="70"/>
      <c r="AH128" s="70"/>
      <c r="AI128" s="71"/>
      <c r="AJ128" s="64" t="str">
        <f t="shared" si="24"/>
        <v/>
      </c>
      <c r="AK128" s="64" t="str">
        <f t="shared" si="16"/>
        <v/>
      </c>
      <c r="AL128" s="66"/>
      <c r="AM128" s="66"/>
    </row>
    <row r="129" spans="1:39" s="67" customFormat="1" ht="24" customHeight="1" x14ac:dyDescent="0.15">
      <c r="A129" s="273" t="s">
        <v>107</v>
      </c>
      <c r="B129" s="222"/>
      <c r="C129" s="132"/>
      <c r="D129" s="161"/>
      <c r="E129" s="230"/>
      <c r="F129" s="230"/>
      <c r="G129" s="224"/>
      <c r="H129" s="267"/>
      <c r="I129" s="268"/>
      <c r="J129" s="231"/>
      <c r="K129" s="231"/>
      <c r="L129" s="155"/>
      <c r="M129" s="155"/>
      <c r="N129" s="439"/>
      <c r="O129" s="439"/>
      <c r="P129" s="132"/>
      <c r="Q129" s="132"/>
      <c r="R129" s="132"/>
      <c r="S129" s="264"/>
      <c r="T129" s="70"/>
      <c r="U129" s="70"/>
      <c r="V129" s="71"/>
      <c r="W129" s="70"/>
      <c r="X129" s="70"/>
      <c r="Y129" s="71"/>
      <c r="Z129" s="64"/>
      <c r="AA129" s="65"/>
      <c r="AB129" s="70"/>
      <c r="AC129" s="64"/>
      <c r="AD129" s="65"/>
      <c r="AE129" s="70"/>
      <c r="AF129" s="71"/>
      <c r="AG129" s="70"/>
      <c r="AH129" s="70"/>
      <c r="AI129" s="71"/>
      <c r="AJ129" s="64" t="str">
        <f t="shared" si="24"/>
        <v/>
      </c>
      <c r="AK129" s="64" t="str">
        <f t="shared" si="16"/>
        <v/>
      </c>
      <c r="AL129" s="66"/>
      <c r="AM129" s="66"/>
    </row>
    <row r="130" spans="1:39" s="67" customFormat="1" ht="24" customHeight="1" x14ac:dyDescent="0.15">
      <c r="A130" s="273" t="s">
        <v>108</v>
      </c>
      <c r="B130" s="222"/>
      <c r="C130" s="132"/>
      <c r="D130" s="161"/>
      <c r="E130" s="265"/>
      <c r="F130" s="265"/>
      <c r="G130" s="266"/>
      <c r="H130" s="267"/>
      <c r="I130" s="268"/>
      <c r="J130" s="269"/>
      <c r="K130" s="269"/>
      <c r="L130" s="156"/>
      <c r="M130" s="156"/>
      <c r="N130" s="439"/>
      <c r="O130" s="476"/>
      <c r="P130" s="132"/>
      <c r="Q130" s="132"/>
      <c r="R130" s="132"/>
      <c r="S130" s="264"/>
      <c r="T130" s="72" t="s">
        <v>37</v>
      </c>
      <c r="U130" s="72">
        <f>COUNTIF(D111:D130,"철")</f>
        <v>0</v>
      </c>
      <c r="V130" s="73">
        <f>COUNTIF(I111:I130,"철")</f>
        <v>0</v>
      </c>
      <c r="W130" s="72" t="s">
        <v>26</v>
      </c>
      <c r="X130" s="72">
        <f>SUMIF(D111:D130,"철",F111:F130)</f>
        <v>0</v>
      </c>
      <c r="Y130" s="73">
        <f>SUMIF(I111:I130,"철",K111:K130)</f>
        <v>0</v>
      </c>
      <c r="Z130" s="64">
        <f>COUNTIF(AJ111:AJ130,"철국")+COUNTIF(AJ111:AJ130,"철공")</f>
        <v>0</v>
      </c>
      <c r="AA130" s="65">
        <f>COUNTIF(AK111:AK130,"철국")+COUNTIF(AK111:AK130,"철공")</f>
        <v>0</v>
      </c>
      <c r="AB130" s="72" t="s">
        <v>26</v>
      </c>
      <c r="AC130" s="64">
        <f>SUMIF(AJ111:AJ130,"철국",F111:F130)+SUMIF(AJ111:AJ130,"철공",F111:F130)</f>
        <v>0</v>
      </c>
      <c r="AD130" s="65">
        <f>SUMIF(AK111:AK130,"철국",K111:K130)+SUMIF(AK111:AK130,"철공",K111:K130)</f>
        <v>0</v>
      </c>
      <c r="AE130" s="72"/>
      <c r="AF130" s="73"/>
      <c r="AG130" s="72"/>
      <c r="AH130" s="72"/>
      <c r="AI130" s="73"/>
      <c r="AJ130" s="64" t="str">
        <f t="shared" si="24"/>
        <v/>
      </c>
      <c r="AK130" s="64" t="str">
        <f t="shared" si="16"/>
        <v/>
      </c>
      <c r="AL130" s="66"/>
      <c r="AM130" s="66"/>
    </row>
    <row r="131" spans="1:39" s="67" customFormat="1" ht="24" customHeight="1" thickBot="1" x14ac:dyDescent="0.2">
      <c r="A131" s="103" t="s">
        <v>48</v>
      </c>
      <c r="B131" s="103"/>
      <c r="C131" s="103"/>
      <c r="D131" s="103"/>
      <c r="E131" s="103"/>
      <c r="F131" s="104">
        <f>SUM(F111:F130)</f>
        <v>0</v>
      </c>
      <c r="G131" s="103"/>
      <c r="H131" s="103"/>
      <c r="I131" s="105"/>
      <c r="J131" s="103"/>
      <c r="K131" s="104">
        <f>SUM(K111:K130)</f>
        <v>0</v>
      </c>
      <c r="L131" s="106"/>
      <c r="M131" s="123"/>
      <c r="N131" s="447"/>
      <c r="O131" s="430"/>
      <c r="P131" s="123"/>
      <c r="Q131" s="123"/>
      <c r="R131" s="123"/>
      <c r="S131" s="123"/>
      <c r="T131" s="62" t="s">
        <v>24</v>
      </c>
      <c r="U131" s="63">
        <f t="shared" ref="U131:AA131" si="25">SUM(U111:U130)</f>
        <v>0</v>
      </c>
      <c r="V131" s="63">
        <f t="shared" si="25"/>
        <v>0</v>
      </c>
      <c r="W131" s="63">
        <f t="shared" si="25"/>
        <v>0</v>
      </c>
      <c r="X131" s="63">
        <f t="shared" si="25"/>
        <v>0</v>
      </c>
      <c r="Y131" s="63">
        <f t="shared" si="25"/>
        <v>0</v>
      </c>
      <c r="Z131" s="277">
        <f t="shared" si="25"/>
        <v>0</v>
      </c>
      <c r="AA131" s="278">
        <f t="shared" si="25"/>
        <v>0</v>
      </c>
      <c r="AB131" s="277" t="s">
        <v>26</v>
      </c>
      <c r="AC131" s="277">
        <f>SUM(AC111:AC130)</f>
        <v>0</v>
      </c>
      <c r="AD131" s="278">
        <f>SUM(AD111:AD130)</f>
        <v>0</v>
      </c>
      <c r="AE131" s="63">
        <f>SUM(AE111:AE130)</f>
        <v>0</v>
      </c>
      <c r="AF131" s="63">
        <f>SUM(AF111:AF130)</f>
        <v>0</v>
      </c>
      <c r="AG131" s="63" t="s">
        <v>26</v>
      </c>
      <c r="AH131" s="63">
        <f>SUM(AH111:AH130)</f>
        <v>0</v>
      </c>
      <c r="AI131" s="63">
        <f>SUM(AI111:AI130)</f>
        <v>0</v>
      </c>
      <c r="AJ131" s="63"/>
      <c r="AK131" s="64" t="str">
        <f t="shared" si="16"/>
        <v/>
      </c>
      <c r="AL131" s="66"/>
      <c r="AM131" s="66"/>
    </row>
    <row r="132" spans="1:39" s="67" customFormat="1" ht="24" customHeight="1" x14ac:dyDescent="0.15">
      <c r="A132" s="260">
        <v>121</v>
      </c>
      <c r="B132" s="215"/>
      <c r="C132" s="140"/>
      <c r="D132" s="141"/>
      <c r="E132" s="143"/>
      <c r="F132" s="143"/>
      <c r="G132" s="244"/>
      <c r="H132" s="261"/>
      <c r="I132" s="262"/>
      <c r="J132" s="263"/>
      <c r="K132" s="263"/>
      <c r="L132" s="144"/>
      <c r="M132" s="472"/>
      <c r="N132" s="462"/>
      <c r="O132" s="462"/>
      <c r="P132" s="378"/>
      <c r="Q132" s="145"/>
      <c r="R132" s="145"/>
      <c r="S132" s="285"/>
      <c r="T132" s="64" t="s">
        <v>27</v>
      </c>
      <c r="U132" s="64">
        <f>COUNTIF(D132:D151,"전")</f>
        <v>0</v>
      </c>
      <c r="V132" s="65">
        <f>COUNTIF(I132:I151,"전")</f>
        <v>0</v>
      </c>
      <c r="W132" s="64" t="s">
        <v>26</v>
      </c>
      <c r="X132" s="64">
        <f>SUMIF(D132:D151,"전",F132:F151)</f>
        <v>0</v>
      </c>
      <c r="Y132" s="65">
        <f>SUMIF(I132:I151,"전",K132:K151)</f>
        <v>0</v>
      </c>
      <c r="Z132" s="64">
        <f>COUNTIF(AJ132:AJ151,"전국")+COUNTIF(AJ132:AJ151,"전공")</f>
        <v>0</v>
      </c>
      <c r="AA132" s="65">
        <f>COUNTIF(AK132:AK151,"전국")+COUNTIF(AK132:AK151,"전공")</f>
        <v>0</v>
      </c>
      <c r="AB132" s="64" t="s">
        <v>26</v>
      </c>
      <c r="AC132" s="64">
        <f>SUMIF(AJ132:AJ151,"전국",F132:F151)+SUMIF(AJ132:AJ151,"전공",F132:F151)</f>
        <v>0</v>
      </c>
      <c r="AD132" s="65">
        <f>SUMIF(AK132:AK151,"전국",K132:K151)+SUMIF(AK132:AK151,"전공",K132:K151)</f>
        <v>0</v>
      </c>
      <c r="AE132" s="64">
        <f t="shared" ref="AE132:AF148" si="26">U132-Z132</f>
        <v>0</v>
      </c>
      <c r="AF132" s="65">
        <f t="shared" si="26"/>
        <v>0</v>
      </c>
      <c r="AG132" s="64" t="s">
        <v>26</v>
      </c>
      <c r="AH132" s="64">
        <f t="shared" ref="AH132:AI148" si="27">X132-AC132</f>
        <v>0</v>
      </c>
      <c r="AI132" s="65">
        <f t="shared" si="27"/>
        <v>0</v>
      </c>
      <c r="AJ132" s="64" t="str">
        <f t="shared" ref="AJ132:AJ151" si="28">CONCATENATE(D132,L132)</f>
        <v/>
      </c>
      <c r="AK132" s="64" t="str">
        <f t="shared" si="16"/>
        <v/>
      </c>
    </row>
    <row r="133" spans="1:39" s="67" customFormat="1" ht="24" customHeight="1" x14ac:dyDescent="0.15">
      <c r="A133" s="254">
        <v>122</v>
      </c>
      <c r="B133" s="222"/>
      <c r="C133" s="132"/>
      <c r="D133" s="161"/>
      <c r="E133" s="265"/>
      <c r="F133" s="265"/>
      <c r="G133" s="266"/>
      <c r="H133" s="267"/>
      <c r="I133" s="268"/>
      <c r="J133" s="269"/>
      <c r="K133" s="269"/>
      <c r="L133" s="155"/>
      <c r="M133" s="156"/>
      <c r="N133" s="439"/>
      <c r="O133" s="476"/>
      <c r="P133" s="132"/>
      <c r="Q133" s="132"/>
      <c r="R133" s="132"/>
      <c r="S133" s="264"/>
      <c r="T133" s="64" t="s">
        <v>28</v>
      </c>
      <c r="U133" s="64">
        <f>COUNTIF(D132:D151,"답")</f>
        <v>0</v>
      </c>
      <c r="V133" s="65">
        <f>COUNTIF(I132:I151,"답")</f>
        <v>0</v>
      </c>
      <c r="W133" s="64" t="s">
        <v>26</v>
      </c>
      <c r="X133" s="64">
        <f>SUMIF(D132:D151,"답",F132:F151)</f>
        <v>0</v>
      </c>
      <c r="Y133" s="65">
        <f>SUMIF(I132:I151,"답",K132:K151)</f>
        <v>0</v>
      </c>
      <c r="Z133" s="64">
        <f>COUNTIF(AJ132:AJ151,"답국")+COUNTIF(AJ132:AJ151,"답공")</f>
        <v>0</v>
      </c>
      <c r="AA133" s="65">
        <f>COUNTIF(AK132:AK151,"답국")+COUNTIF(AK132:AK151,"답공")</f>
        <v>0</v>
      </c>
      <c r="AB133" s="64" t="s">
        <v>26</v>
      </c>
      <c r="AC133" s="64">
        <f>SUMIF(AJ132:AJ151,"답국",F132:F151)+SUMIF(AJ132:AJ151,"답공",F132:F151)</f>
        <v>0</v>
      </c>
      <c r="AD133" s="65">
        <f>SUMIF(AK132:AK151,"답국",K132:K151)+SUMIF(AK132:AK151,"답공",K132:K151)</f>
        <v>0</v>
      </c>
      <c r="AE133" s="64">
        <f t="shared" si="26"/>
        <v>0</v>
      </c>
      <c r="AF133" s="65">
        <f t="shared" si="26"/>
        <v>0</v>
      </c>
      <c r="AG133" s="64" t="s">
        <v>26</v>
      </c>
      <c r="AH133" s="64">
        <f t="shared" si="27"/>
        <v>0</v>
      </c>
      <c r="AI133" s="65">
        <f t="shared" si="27"/>
        <v>0</v>
      </c>
      <c r="AJ133" s="64" t="str">
        <f t="shared" si="28"/>
        <v/>
      </c>
      <c r="AK133" s="64" t="str">
        <f t="shared" si="16"/>
        <v/>
      </c>
    </row>
    <row r="134" spans="1:39" s="67" customFormat="1" ht="24" customHeight="1" x14ac:dyDescent="0.15">
      <c r="A134" s="254">
        <v>123</v>
      </c>
      <c r="B134" s="222"/>
      <c r="C134" s="132"/>
      <c r="D134" s="161"/>
      <c r="E134" s="265"/>
      <c r="F134" s="265"/>
      <c r="G134" s="266"/>
      <c r="H134" s="267"/>
      <c r="I134" s="268"/>
      <c r="J134" s="269"/>
      <c r="K134" s="269"/>
      <c r="L134" s="155"/>
      <c r="M134" s="156"/>
      <c r="N134" s="446"/>
      <c r="O134" s="446"/>
      <c r="P134" s="132"/>
      <c r="Q134" s="132"/>
      <c r="R134" s="132"/>
      <c r="S134" s="264"/>
      <c r="T134" s="64" t="s">
        <v>44</v>
      </c>
      <c r="U134" s="64">
        <f>COUNTIF(D132:D151,"임")</f>
        <v>0</v>
      </c>
      <c r="V134" s="65">
        <f>COUNTIF(I132:I151,"임")</f>
        <v>0</v>
      </c>
      <c r="W134" s="64" t="s">
        <v>26</v>
      </c>
      <c r="X134" s="64">
        <f>SUMIF(D132:D151,"임",F132:F151)</f>
        <v>0</v>
      </c>
      <c r="Y134" s="65">
        <f>SUMIF(I132:I151,"임",K132:K151)</f>
        <v>0</v>
      </c>
      <c r="Z134" s="64">
        <f>COUNTIF(AJ132:AJ151,"임국")+COUNTIF(AJ132:AJ151,"임공")</f>
        <v>0</v>
      </c>
      <c r="AA134" s="65">
        <f>COUNTIF(AK132:AK151,"임국")+COUNTIF(AK132:AK151,"임공")</f>
        <v>0</v>
      </c>
      <c r="AB134" s="64" t="s">
        <v>26</v>
      </c>
      <c r="AC134" s="64">
        <f>SUMIF(AJ132:AJ151,"임국",F132:F151)+SUMIF(AJ132:AJ151,"임공",F132:F151)</f>
        <v>0</v>
      </c>
      <c r="AD134" s="65">
        <f>SUMIF(AK132:AK151,"임국",K132:K151)+SUMIF(AK132:AK151,"임공",K132:K151)</f>
        <v>0</v>
      </c>
      <c r="AE134" s="64">
        <f t="shared" si="26"/>
        <v>0</v>
      </c>
      <c r="AF134" s="65">
        <f t="shared" si="26"/>
        <v>0</v>
      </c>
      <c r="AG134" s="64" t="s">
        <v>26</v>
      </c>
      <c r="AH134" s="64">
        <f t="shared" si="27"/>
        <v>0</v>
      </c>
      <c r="AI134" s="65">
        <f t="shared" si="27"/>
        <v>0</v>
      </c>
      <c r="AJ134" s="64" t="str">
        <f t="shared" si="28"/>
        <v/>
      </c>
      <c r="AK134" s="64" t="str">
        <f t="shared" si="16"/>
        <v/>
      </c>
      <c r="AL134" s="66"/>
      <c r="AM134" s="66"/>
    </row>
    <row r="135" spans="1:39" s="67" customFormat="1" ht="24" customHeight="1" x14ac:dyDescent="0.15">
      <c r="A135" s="273" t="s">
        <v>109</v>
      </c>
      <c r="B135" s="222"/>
      <c r="C135" s="132"/>
      <c r="D135" s="161"/>
      <c r="E135" s="286"/>
      <c r="F135" s="265"/>
      <c r="G135" s="287"/>
      <c r="H135" s="267"/>
      <c r="I135" s="268"/>
      <c r="J135" s="288"/>
      <c r="K135" s="269"/>
      <c r="L135" s="155"/>
      <c r="M135" s="156"/>
      <c r="N135" s="439"/>
      <c r="O135" s="476"/>
      <c r="P135" s="132"/>
      <c r="Q135" s="132"/>
      <c r="R135" s="132"/>
      <c r="S135" s="206"/>
      <c r="T135" s="64" t="s">
        <v>45</v>
      </c>
      <c r="U135" s="64">
        <f>COUNTIF(D132:D151,"대")</f>
        <v>0</v>
      </c>
      <c r="V135" s="65">
        <f>COUNTIF(I132:I151,"대")</f>
        <v>0</v>
      </c>
      <c r="W135" s="64" t="s">
        <v>26</v>
      </c>
      <c r="X135" s="64">
        <f>SUMIF(D132:D151,"대",F132:F151)</f>
        <v>0</v>
      </c>
      <c r="Y135" s="65">
        <f>SUMIF(I132:I151,"대",K132:K151)</f>
        <v>0</v>
      </c>
      <c r="Z135" s="64">
        <f>COUNTIF(AJ132:AJ151,"대국")+COUNTIF(AJ132:AJ151,"대공")</f>
        <v>0</v>
      </c>
      <c r="AA135" s="65">
        <f>COUNTIF(AK132:AK151,"대국")+COUNTIF(AK132:AK151,"대공")</f>
        <v>0</v>
      </c>
      <c r="AB135" s="64" t="s">
        <v>26</v>
      </c>
      <c r="AC135" s="64">
        <f>SUMIF(AJ132:AJ151,"대국",F132:F151)+SUMIF(AJ132:AJ151,"대공",F132:F151)</f>
        <v>0</v>
      </c>
      <c r="AD135" s="65">
        <f>SUMIF(AK132:AK151,"대국",K132:K151)+SUMIF(AK132:AK151,"대공",K132:K151)</f>
        <v>0</v>
      </c>
      <c r="AE135" s="64">
        <f t="shared" si="26"/>
        <v>0</v>
      </c>
      <c r="AF135" s="65">
        <f t="shared" si="26"/>
        <v>0</v>
      </c>
      <c r="AG135" s="64" t="s">
        <v>26</v>
      </c>
      <c r="AH135" s="64">
        <f t="shared" si="27"/>
        <v>0</v>
      </c>
      <c r="AI135" s="65">
        <f t="shared" si="27"/>
        <v>0</v>
      </c>
      <c r="AJ135" s="64" t="str">
        <f t="shared" si="28"/>
        <v/>
      </c>
      <c r="AK135" s="64" t="str">
        <f t="shared" ref="AK135:AK198" si="29">CONCATENATE(I135,N135)</f>
        <v/>
      </c>
      <c r="AL135" s="66"/>
      <c r="AM135" s="66"/>
    </row>
    <row r="136" spans="1:39" s="67" customFormat="1" ht="24" customHeight="1" x14ac:dyDescent="0.15">
      <c r="A136" s="273" t="s">
        <v>110</v>
      </c>
      <c r="B136" s="222"/>
      <c r="C136" s="136"/>
      <c r="D136" s="133"/>
      <c r="E136" s="265"/>
      <c r="F136" s="265"/>
      <c r="G136" s="266"/>
      <c r="H136" s="232"/>
      <c r="I136" s="233"/>
      <c r="J136" s="269"/>
      <c r="K136" s="269"/>
      <c r="L136" s="155"/>
      <c r="M136" s="156"/>
      <c r="N136" s="439"/>
      <c r="O136" s="476"/>
      <c r="P136" s="132"/>
      <c r="Q136" s="132"/>
      <c r="R136" s="132"/>
      <c r="S136" s="206"/>
      <c r="T136" s="64" t="s">
        <v>31</v>
      </c>
      <c r="U136" s="64">
        <f>COUNTIF(D132:D151,"도")</f>
        <v>0</v>
      </c>
      <c r="V136" s="65">
        <f>COUNTIF(I132:I151,"도")</f>
        <v>0</v>
      </c>
      <c r="W136" s="64" t="s">
        <v>26</v>
      </c>
      <c r="X136" s="64">
        <f>SUMIF(D132:D151,"도",F132:F151)</f>
        <v>0</v>
      </c>
      <c r="Y136" s="65">
        <f>SUMIF(I132:I151,"도",K132:K151)</f>
        <v>0</v>
      </c>
      <c r="Z136" s="64">
        <f>COUNTIF(AJ132:AJ151,"도국")+COUNTIF(AJ132:AJ151,"도공")</f>
        <v>0</v>
      </c>
      <c r="AA136" s="65">
        <f>COUNTIF(AK132:AK151,"도국")+COUNTIF(AK132:AK151,"도공")</f>
        <v>0</v>
      </c>
      <c r="AB136" s="64" t="s">
        <v>26</v>
      </c>
      <c r="AC136" s="64">
        <f>SUMIF(AJ132:AJ151,"도국",F132:F151)+SUMIF(AJ132:AJ151,"도공",F132:F151)</f>
        <v>0</v>
      </c>
      <c r="AD136" s="65">
        <f>SUMIF(AK132:AK151,"도국",K132:K151)+SUMIF(AK132:AK151,"도공",K132:K151)</f>
        <v>0</v>
      </c>
      <c r="AE136" s="64">
        <f t="shared" si="26"/>
        <v>0</v>
      </c>
      <c r="AF136" s="65">
        <f t="shared" si="26"/>
        <v>0</v>
      </c>
      <c r="AG136" s="64" t="s">
        <v>26</v>
      </c>
      <c r="AH136" s="64">
        <f t="shared" si="27"/>
        <v>0</v>
      </c>
      <c r="AI136" s="65">
        <f t="shared" si="27"/>
        <v>0</v>
      </c>
      <c r="AJ136" s="64" t="str">
        <f t="shared" si="28"/>
        <v/>
      </c>
      <c r="AK136" s="64" t="str">
        <f t="shared" si="29"/>
        <v/>
      </c>
      <c r="AL136" s="66"/>
      <c r="AM136" s="66"/>
    </row>
    <row r="137" spans="1:39" s="67" customFormat="1" ht="24" customHeight="1" x14ac:dyDescent="0.15">
      <c r="A137" s="273" t="s">
        <v>111</v>
      </c>
      <c r="B137" s="222"/>
      <c r="C137" s="132"/>
      <c r="D137" s="274"/>
      <c r="E137" s="265"/>
      <c r="F137" s="265"/>
      <c r="G137" s="266"/>
      <c r="H137" s="267"/>
      <c r="I137" s="275"/>
      <c r="J137" s="269"/>
      <c r="K137" s="269"/>
      <c r="L137" s="128"/>
      <c r="M137" s="137"/>
      <c r="N137" s="425"/>
      <c r="O137" s="428"/>
      <c r="P137" s="132"/>
      <c r="Q137" s="132"/>
      <c r="R137" s="132"/>
      <c r="S137" s="253"/>
      <c r="T137" s="64" t="s">
        <v>32</v>
      </c>
      <c r="U137" s="68">
        <f>COUNTIF(D132:D151,"천")</f>
        <v>0</v>
      </c>
      <c r="V137" s="69">
        <f>COUNTIF(I132:I151,"천")</f>
        <v>0</v>
      </c>
      <c r="W137" s="64" t="s">
        <v>26</v>
      </c>
      <c r="X137" s="64">
        <f>SUMIF(D132:D151,"천",F132:F151)</f>
        <v>0</v>
      </c>
      <c r="Y137" s="65">
        <f>SUMIF(I132:I151,"천",K132:K151)</f>
        <v>0</v>
      </c>
      <c r="Z137" s="64">
        <f>COUNTIF(AJ132:AJ151,"천국")+COUNTIF(AJ132:AJ151,"천공")</f>
        <v>0</v>
      </c>
      <c r="AA137" s="65">
        <f>COUNTIF(AK132:AK151,"천국")+COUNTIF(AK132:AK151,"천공")</f>
        <v>0</v>
      </c>
      <c r="AB137" s="64" t="s">
        <v>26</v>
      </c>
      <c r="AC137" s="64">
        <f>SUMIF(AJ132:AJ151,"천국",F132:F151)+SUMIF(AJ132:AJ151,"천공",F132:F151)</f>
        <v>0</v>
      </c>
      <c r="AD137" s="65">
        <f>SUMIF(AK132:AK151,"천국",K132:K151)+SUMIF(AK132:AK151,"천공",K132:K151)</f>
        <v>0</v>
      </c>
      <c r="AE137" s="64">
        <f t="shared" si="26"/>
        <v>0</v>
      </c>
      <c r="AF137" s="65">
        <f t="shared" si="26"/>
        <v>0</v>
      </c>
      <c r="AG137" s="64" t="s">
        <v>26</v>
      </c>
      <c r="AH137" s="64">
        <f t="shared" si="27"/>
        <v>0</v>
      </c>
      <c r="AI137" s="65">
        <f t="shared" si="27"/>
        <v>0</v>
      </c>
      <c r="AJ137" s="64" t="str">
        <f t="shared" si="28"/>
        <v/>
      </c>
      <c r="AK137" s="64" t="str">
        <f t="shared" si="29"/>
        <v/>
      </c>
      <c r="AL137" s="66"/>
      <c r="AM137" s="66"/>
    </row>
    <row r="138" spans="1:39" s="67" customFormat="1" ht="24" customHeight="1" x14ac:dyDescent="0.15">
      <c r="A138" s="273" t="s">
        <v>112</v>
      </c>
      <c r="B138" s="222"/>
      <c r="C138" s="132"/>
      <c r="D138" s="274"/>
      <c r="E138" s="265"/>
      <c r="F138" s="265"/>
      <c r="G138" s="266"/>
      <c r="H138" s="267"/>
      <c r="I138" s="275"/>
      <c r="J138" s="269"/>
      <c r="K138" s="269"/>
      <c r="L138" s="128"/>
      <c r="M138" s="137"/>
      <c r="N138" s="425"/>
      <c r="O138" s="428"/>
      <c r="P138" s="132"/>
      <c r="Q138" s="132"/>
      <c r="R138" s="132"/>
      <c r="S138" s="206"/>
      <c r="T138" s="64" t="s">
        <v>33</v>
      </c>
      <c r="U138" s="64">
        <f>COUNTIF(D132:D151,"구")</f>
        <v>0</v>
      </c>
      <c r="V138" s="65">
        <f>COUNTIF(I132:I151,"구")</f>
        <v>0</v>
      </c>
      <c r="W138" s="64" t="s">
        <v>26</v>
      </c>
      <c r="X138" s="64">
        <f>SUMIF(D132:D151,"구",F132:F151)</f>
        <v>0</v>
      </c>
      <c r="Y138" s="65">
        <f>SUMIF(I132:I151,"구",K132:K151)</f>
        <v>0</v>
      </c>
      <c r="Z138" s="64">
        <f>COUNTIF(AJ132:AJ151,"구국")+COUNTIF(AJ132:AJ151,"구공")</f>
        <v>0</v>
      </c>
      <c r="AA138" s="65">
        <f>COUNTIF(AK132:AK151,"구국")+COUNTIF(AK132:AK151,"구공")</f>
        <v>0</v>
      </c>
      <c r="AB138" s="64" t="s">
        <v>26</v>
      </c>
      <c r="AC138" s="64">
        <f>SUMIF(AJ132:AJ151,"구국",F132:F151)+SUMIF(AJ132:AJ151,"구공",F132:F151)</f>
        <v>0</v>
      </c>
      <c r="AD138" s="65">
        <f>SUMIF(AK132:AK151,"구국",K132:K151)+SUMIF(AK132:AK151,"구공",K132:K151)</f>
        <v>0</v>
      </c>
      <c r="AE138" s="64">
        <f t="shared" si="26"/>
        <v>0</v>
      </c>
      <c r="AF138" s="65">
        <f t="shared" si="26"/>
        <v>0</v>
      </c>
      <c r="AG138" s="64" t="s">
        <v>26</v>
      </c>
      <c r="AH138" s="64">
        <f t="shared" si="27"/>
        <v>0</v>
      </c>
      <c r="AI138" s="65">
        <f t="shared" si="27"/>
        <v>0</v>
      </c>
      <c r="AJ138" s="64" t="str">
        <f t="shared" si="28"/>
        <v/>
      </c>
      <c r="AK138" s="64" t="str">
        <f t="shared" si="29"/>
        <v/>
      </c>
      <c r="AL138" s="66"/>
      <c r="AM138" s="66"/>
    </row>
    <row r="139" spans="1:39" s="67" customFormat="1" ht="24" customHeight="1" x14ac:dyDescent="0.15">
      <c r="A139" s="273" t="s">
        <v>113</v>
      </c>
      <c r="B139" s="222"/>
      <c r="C139" s="132"/>
      <c r="D139" s="274"/>
      <c r="E139" s="265"/>
      <c r="F139" s="265"/>
      <c r="G139" s="266"/>
      <c r="H139" s="267"/>
      <c r="I139" s="275"/>
      <c r="J139" s="269"/>
      <c r="K139" s="269"/>
      <c r="L139" s="128"/>
      <c r="M139" s="137"/>
      <c r="N139" s="425"/>
      <c r="O139" s="428"/>
      <c r="P139" s="132"/>
      <c r="Q139" s="132"/>
      <c r="R139" s="132"/>
      <c r="S139" s="206"/>
      <c r="T139" s="64" t="s">
        <v>34</v>
      </c>
      <c r="U139" s="64">
        <f>COUNTIF(D132:D151,"제")</f>
        <v>0</v>
      </c>
      <c r="V139" s="65">
        <f>COUNTIF(I132:I151,"제")</f>
        <v>0</v>
      </c>
      <c r="W139" s="64" t="s">
        <v>26</v>
      </c>
      <c r="X139" s="64">
        <f>SUMIF(D132:D151,"제",F132:F151)</f>
        <v>0</v>
      </c>
      <c r="Y139" s="65">
        <f>SUMIF(I132:I151,"제",K132:K151)</f>
        <v>0</v>
      </c>
      <c r="Z139" s="64">
        <f>COUNTIF(AJ132:AJ151,"제국")+COUNTIF(AJ132:AJ151,"제공")</f>
        <v>0</v>
      </c>
      <c r="AA139" s="65">
        <f>COUNTIF(AK132:AK151,"제국")+COUNTIF(AK132:AK151,"제공")</f>
        <v>0</v>
      </c>
      <c r="AB139" s="64" t="s">
        <v>26</v>
      </c>
      <c r="AC139" s="64">
        <f>SUMIF(AJ132:AJ151,"제국",F132:F151)+SUMIF(AJ132:AJ151,"제공",F132:F151)</f>
        <v>0</v>
      </c>
      <c r="AD139" s="65">
        <f>SUMIF(AK132:AK151,"제국",K132:K151)+SUMIF(AK132:AK151,"제공",K132:K151)</f>
        <v>0</v>
      </c>
      <c r="AE139" s="64">
        <f t="shared" si="26"/>
        <v>0</v>
      </c>
      <c r="AF139" s="65">
        <f t="shared" si="26"/>
        <v>0</v>
      </c>
      <c r="AG139" s="64" t="s">
        <v>26</v>
      </c>
      <c r="AH139" s="64">
        <f t="shared" si="27"/>
        <v>0</v>
      </c>
      <c r="AI139" s="65">
        <f t="shared" si="27"/>
        <v>0</v>
      </c>
      <c r="AJ139" s="64" t="str">
        <f t="shared" si="28"/>
        <v/>
      </c>
      <c r="AK139" s="64" t="str">
        <f t="shared" si="29"/>
        <v/>
      </c>
      <c r="AL139" s="66"/>
      <c r="AM139" s="66"/>
    </row>
    <row r="140" spans="1:39" s="67" customFormat="1" ht="24" customHeight="1" x14ac:dyDescent="0.15">
      <c r="A140" s="273" t="s">
        <v>114</v>
      </c>
      <c r="B140" s="222"/>
      <c r="C140" s="136"/>
      <c r="D140" s="133"/>
      <c r="E140" s="135"/>
      <c r="F140" s="135"/>
      <c r="G140" s="224"/>
      <c r="H140" s="232"/>
      <c r="I140" s="233"/>
      <c r="J140" s="227"/>
      <c r="K140" s="227"/>
      <c r="L140" s="128"/>
      <c r="M140" s="137"/>
      <c r="N140" s="425"/>
      <c r="O140" s="428"/>
      <c r="P140" s="132"/>
      <c r="Q140" s="132"/>
      <c r="R140" s="132"/>
      <c r="S140" s="206"/>
      <c r="T140" s="64" t="s">
        <v>46</v>
      </c>
      <c r="U140" s="64">
        <f>COUNTIF(D132:D151,"유")</f>
        <v>0</v>
      </c>
      <c r="V140" s="65">
        <f>COUNTIF(I132:I151,"유")</f>
        <v>0</v>
      </c>
      <c r="W140" s="64" t="s">
        <v>26</v>
      </c>
      <c r="X140" s="64">
        <f>SUMIF(D132:D151,"유",F132:F151)</f>
        <v>0</v>
      </c>
      <c r="Y140" s="65">
        <f>SUMIF(I132:I151,"유",K132:K151)</f>
        <v>0</v>
      </c>
      <c r="Z140" s="64">
        <f>COUNTIF(AJ132:AJ151,"유국")+COUNTIF(AJ132:AJ151,"유공")</f>
        <v>0</v>
      </c>
      <c r="AA140" s="65">
        <f>COUNTIF(AK132:AK151,"유국")+COUNTIF(AK132:AK151,"유공")</f>
        <v>0</v>
      </c>
      <c r="AB140" s="64" t="s">
        <v>26</v>
      </c>
      <c r="AC140" s="64">
        <f>SUMIF(AJ132:AJ151,"유국",F132:F151)+SUMIF(AJ132:AJ151,"유공",F132:F151)</f>
        <v>0</v>
      </c>
      <c r="AD140" s="65">
        <f>SUMIF(AK132:AK151,"유국",K132:K151)+SUMIF(AK132:AK151,"유공",K132:K151)</f>
        <v>0</v>
      </c>
      <c r="AE140" s="64">
        <f t="shared" si="26"/>
        <v>0</v>
      </c>
      <c r="AF140" s="65">
        <f t="shared" si="26"/>
        <v>0</v>
      </c>
      <c r="AG140" s="64" t="s">
        <v>26</v>
      </c>
      <c r="AH140" s="64">
        <f t="shared" si="27"/>
        <v>0</v>
      </c>
      <c r="AI140" s="65">
        <f t="shared" si="27"/>
        <v>0</v>
      </c>
      <c r="AJ140" s="64" t="str">
        <f t="shared" si="28"/>
        <v/>
      </c>
      <c r="AK140" s="64" t="str">
        <f t="shared" si="29"/>
        <v/>
      </c>
      <c r="AL140" s="66"/>
      <c r="AM140" s="66"/>
    </row>
    <row r="141" spans="1:39" s="67" customFormat="1" ht="24" customHeight="1" x14ac:dyDescent="0.15">
      <c r="A141" s="273" t="s">
        <v>115</v>
      </c>
      <c r="B141" s="222"/>
      <c r="C141" s="136"/>
      <c r="D141" s="133"/>
      <c r="E141" s="135"/>
      <c r="F141" s="135"/>
      <c r="G141" s="224"/>
      <c r="H141" s="232"/>
      <c r="I141" s="233"/>
      <c r="J141" s="227"/>
      <c r="K141" s="227"/>
      <c r="L141" s="128"/>
      <c r="M141" s="137"/>
      <c r="N141" s="425"/>
      <c r="O141" s="428"/>
      <c r="P141" s="123"/>
      <c r="Q141" s="123"/>
      <c r="R141" s="123"/>
      <c r="S141" s="206"/>
      <c r="T141" s="64" t="s">
        <v>47</v>
      </c>
      <c r="U141" s="64">
        <f>COUNTIF(D132:D151,"과")</f>
        <v>0</v>
      </c>
      <c r="V141" s="65">
        <f>COUNTIF(I132:I151,"과")</f>
        <v>0</v>
      </c>
      <c r="W141" s="64" t="s">
        <v>26</v>
      </c>
      <c r="X141" s="64">
        <f>SUMIF(D132:D151,"과",F132:F151)</f>
        <v>0</v>
      </c>
      <c r="Y141" s="65">
        <f>SUMIF(I132:I151,"과",K132:K151)</f>
        <v>0</v>
      </c>
      <c r="Z141" s="64">
        <f>COUNTIF(AJ132:AJ151,"과국")+COUNTIF(AJ132:AJ151,"과공")</f>
        <v>0</v>
      </c>
      <c r="AA141" s="65">
        <f>COUNTIF(AK132:AK151,"과국")+COUNTIF(AK132:AK151,"과공")</f>
        <v>0</v>
      </c>
      <c r="AB141" s="64" t="s">
        <v>26</v>
      </c>
      <c r="AC141" s="64">
        <f>SUMIF(AJ132:AJ151,"과국",F132:F151)+SUMIF(AJ132:AJ151,"과공",F132:F151)</f>
        <v>0</v>
      </c>
      <c r="AD141" s="65">
        <f>SUMIF(AK132:AK151,"과국",K132:K151)+SUMIF(AK132:AK151,"과공",K132:K151)</f>
        <v>0</v>
      </c>
      <c r="AE141" s="64">
        <f t="shared" si="26"/>
        <v>0</v>
      </c>
      <c r="AF141" s="65">
        <f t="shared" si="26"/>
        <v>0</v>
      </c>
      <c r="AG141" s="64" t="s">
        <v>26</v>
      </c>
      <c r="AH141" s="64">
        <f t="shared" si="27"/>
        <v>0</v>
      </c>
      <c r="AI141" s="65">
        <f t="shared" si="27"/>
        <v>0</v>
      </c>
      <c r="AJ141" s="64" t="str">
        <f t="shared" si="28"/>
        <v/>
      </c>
      <c r="AK141" s="64" t="str">
        <f t="shared" si="29"/>
        <v/>
      </c>
      <c r="AL141" s="66"/>
      <c r="AM141" s="66"/>
    </row>
    <row r="142" spans="1:39" s="67" customFormat="1" ht="30" customHeight="1" x14ac:dyDescent="0.15">
      <c r="A142" s="273" t="s">
        <v>116</v>
      </c>
      <c r="B142" s="222"/>
      <c r="C142" s="136"/>
      <c r="D142" s="133"/>
      <c r="E142" s="135"/>
      <c r="F142" s="135"/>
      <c r="G142" s="224"/>
      <c r="H142" s="232"/>
      <c r="I142" s="233"/>
      <c r="J142" s="227"/>
      <c r="K142" s="227"/>
      <c r="L142" s="128"/>
      <c r="M142" s="137"/>
      <c r="N142" s="425"/>
      <c r="O142" s="445"/>
      <c r="P142" s="123" t="s">
        <v>187</v>
      </c>
      <c r="Q142" s="123"/>
      <c r="R142" s="123"/>
      <c r="S142" s="206"/>
      <c r="T142" s="64" t="s">
        <v>36</v>
      </c>
      <c r="U142" s="64">
        <f>COUNTIF(D132:D151,"묘")</f>
        <v>0</v>
      </c>
      <c r="V142" s="65">
        <f>COUNTIF(I132:I151,"묘")</f>
        <v>0</v>
      </c>
      <c r="W142" s="64" t="s">
        <v>26</v>
      </c>
      <c r="X142" s="64">
        <f>SUMIF(D132:D151,"묘",F132:F151)</f>
        <v>0</v>
      </c>
      <c r="Y142" s="65">
        <f>SUMIF(I132:I151,"묘",K132:K151)</f>
        <v>0</v>
      </c>
      <c r="Z142" s="64">
        <f>COUNTIF(AJ132:AJ151,"묘국")+COUNTIF(AJ132:AJ151,"묘공")</f>
        <v>0</v>
      </c>
      <c r="AA142" s="65">
        <f>COUNTIF(AK132:AK151,"묘국")+COUNTIF(AK132:AK151,"묘공")</f>
        <v>0</v>
      </c>
      <c r="AB142" s="64" t="s">
        <v>26</v>
      </c>
      <c r="AC142" s="64">
        <f>SUMIF(AJ132:AJ151,"묘국",F132:F151)+SUMIF(AJ132:AJ151,"묘공",F132:F151)</f>
        <v>0</v>
      </c>
      <c r="AD142" s="65">
        <f>SUMIF(AK132:AK151,"묘국",K132:K151)+SUMIF(AK132:AK151,"묘공",K132:K151)</f>
        <v>0</v>
      </c>
      <c r="AE142" s="64">
        <f t="shared" si="26"/>
        <v>0</v>
      </c>
      <c r="AF142" s="65">
        <f t="shared" si="26"/>
        <v>0</v>
      </c>
      <c r="AG142" s="64" t="s">
        <v>26</v>
      </c>
      <c r="AH142" s="64">
        <f t="shared" si="27"/>
        <v>0</v>
      </c>
      <c r="AI142" s="65">
        <f t="shared" si="27"/>
        <v>0</v>
      </c>
      <c r="AJ142" s="64" t="str">
        <f t="shared" si="28"/>
        <v/>
      </c>
      <c r="AK142" s="64" t="str">
        <f t="shared" si="29"/>
        <v/>
      </c>
      <c r="AL142" s="66"/>
      <c r="AM142" s="66"/>
    </row>
    <row r="143" spans="1:39" s="67" customFormat="1" ht="30" customHeight="1" x14ac:dyDescent="0.15">
      <c r="A143" s="273" t="s">
        <v>117</v>
      </c>
      <c r="B143" s="222"/>
      <c r="C143" s="132"/>
      <c r="D143" s="274"/>
      <c r="E143" s="135"/>
      <c r="F143" s="135"/>
      <c r="G143" s="224"/>
      <c r="H143" s="267"/>
      <c r="I143" s="275"/>
      <c r="J143" s="227"/>
      <c r="K143" s="227"/>
      <c r="L143" s="128"/>
      <c r="M143" s="137"/>
      <c r="N143" s="425"/>
      <c r="O143" s="445"/>
      <c r="P143" s="132"/>
      <c r="Q143" s="132"/>
      <c r="R143" s="132"/>
      <c r="S143" s="206"/>
      <c r="T143" s="64" t="s">
        <v>39</v>
      </c>
      <c r="U143" s="64">
        <f>COUNTIF(D132:D151,"수")</f>
        <v>0</v>
      </c>
      <c r="V143" s="65">
        <f>COUNTIF(I132:I151,"수")</f>
        <v>0</v>
      </c>
      <c r="W143" s="64" t="s">
        <v>26</v>
      </c>
      <c r="X143" s="64">
        <f>SUMIF(D132:D151,"수",F132:F151)</f>
        <v>0</v>
      </c>
      <c r="Y143" s="65">
        <f>SUMIF(I132:I151,"수",K132:K151)</f>
        <v>0</v>
      </c>
      <c r="Z143" s="64">
        <f>COUNTIF(AJ132:AJ151,"수국")+COUNTIF(AJ132:AJ151,"수공")</f>
        <v>0</v>
      </c>
      <c r="AA143" s="65">
        <f>COUNTIF(AK132:AK151,"수국")+COUNTIF(AK132:AK151,"수공")</f>
        <v>0</v>
      </c>
      <c r="AB143" s="64" t="s">
        <v>26</v>
      </c>
      <c r="AC143" s="64">
        <f>SUMIF(AJ132:AJ151,"수국",F132:F151)+SUMIF(AJ132:AJ151,"수공",F132:F151)</f>
        <v>0</v>
      </c>
      <c r="AD143" s="65">
        <f>SUMIF(AK132:AK151,"수국",K132:K151)+SUMIF(AK132:AK151,"수공",K132:K151)</f>
        <v>0</v>
      </c>
      <c r="AE143" s="64">
        <f t="shared" si="26"/>
        <v>0</v>
      </c>
      <c r="AF143" s="65">
        <f t="shared" si="26"/>
        <v>0</v>
      </c>
      <c r="AG143" s="64" t="s">
        <v>26</v>
      </c>
      <c r="AH143" s="64">
        <f t="shared" si="27"/>
        <v>0</v>
      </c>
      <c r="AI143" s="65">
        <f t="shared" si="27"/>
        <v>0</v>
      </c>
      <c r="AJ143" s="64" t="str">
        <f t="shared" si="28"/>
        <v/>
      </c>
      <c r="AK143" s="64" t="str">
        <f t="shared" si="29"/>
        <v/>
      </c>
      <c r="AL143" s="66"/>
      <c r="AM143" s="66"/>
    </row>
    <row r="144" spans="1:39" s="67" customFormat="1" ht="24" customHeight="1" x14ac:dyDescent="0.15">
      <c r="A144" s="273" t="s">
        <v>118</v>
      </c>
      <c r="B144" s="222"/>
      <c r="C144" s="136"/>
      <c r="D144" s="133"/>
      <c r="E144" s="135"/>
      <c r="F144" s="135"/>
      <c r="G144" s="224"/>
      <c r="H144" s="232"/>
      <c r="I144" s="233"/>
      <c r="J144" s="227"/>
      <c r="K144" s="227"/>
      <c r="L144" s="128"/>
      <c r="M144" s="128"/>
      <c r="N144" s="425"/>
      <c r="O144" s="425"/>
      <c r="P144" s="123"/>
      <c r="Q144" s="123"/>
      <c r="R144" s="123"/>
      <c r="S144" s="206"/>
      <c r="T144" s="64" t="s">
        <v>35</v>
      </c>
      <c r="U144" s="64">
        <f>COUNTIF(D132:D151,"잡")</f>
        <v>0</v>
      </c>
      <c r="V144" s="65">
        <f>COUNTIF(I132:I151,"잡")</f>
        <v>0</v>
      </c>
      <c r="W144" s="64" t="s">
        <v>26</v>
      </c>
      <c r="X144" s="64">
        <f>SUMIF(D132:D151,"잡",F132:F151)</f>
        <v>0</v>
      </c>
      <c r="Y144" s="65">
        <f>SUMIF(I132:I151,"잡",K132:K151)</f>
        <v>0</v>
      </c>
      <c r="Z144" s="64">
        <f>COUNTIF(AJ132:AJ151,"잡국")+COUNTIF(AJ132:AJ151,"잡공")</f>
        <v>0</v>
      </c>
      <c r="AA144" s="65">
        <f>COUNTIF(AK132:AK151,"잡국")+COUNTIF(AK132:AK151,"잡공")</f>
        <v>0</v>
      </c>
      <c r="AB144" s="64" t="s">
        <v>26</v>
      </c>
      <c r="AC144" s="64">
        <f>SUMIF(AJ132:AJ151,"잡국",F132:F151)+SUMIF(AJ132:AJ151,"잡공",F132:F151)</f>
        <v>0</v>
      </c>
      <c r="AD144" s="65">
        <f>SUMIF(AK132:AK151,"잡국",K132:K151)+SUMIF(AK132:AK151,"잡공",K132:K151)</f>
        <v>0</v>
      </c>
      <c r="AE144" s="64">
        <f t="shared" si="26"/>
        <v>0</v>
      </c>
      <c r="AF144" s="65">
        <f t="shared" si="26"/>
        <v>0</v>
      </c>
      <c r="AG144" s="64" t="s">
        <v>26</v>
      </c>
      <c r="AH144" s="64">
        <f t="shared" si="27"/>
        <v>0</v>
      </c>
      <c r="AI144" s="65">
        <f t="shared" si="27"/>
        <v>0</v>
      </c>
      <c r="AJ144" s="64" t="str">
        <f t="shared" si="28"/>
        <v/>
      </c>
      <c r="AK144" s="64" t="str">
        <f t="shared" si="29"/>
        <v/>
      </c>
      <c r="AL144" s="66"/>
      <c r="AM144" s="66"/>
    </row>
    <row r="145" spans="1:39" s="67" customFormat="1" ht="24" customHeight="1" x14ac:dyDescent="0.15">
      <c r="A145" s="273" t="s">
        <v>119</v>
      </c>
      <c r="B145" s="222"/>
      <c r="C145" s="136"/>
      <c r="D145" s="133"/>
      <c r="E145" s="135"/>
      <c r="F145" s="135"/>
      <c r="G145" s="224"/>
      <c r="H145" s="232"/>
      <c r="I145" s="233"/>
      <c r="J145" s="227"/>
      <c r="K145" s="227"/>
      <c r="L145" s="128"/>
      <c r="M145" s="128"/>
      <c r="N145" s="425"/>
      <c r="O145" s="425"/>
      <c r="P145" s="123"/>
      <c r="Q145" s="123"/>
      <c r="R145" s="123"/>
      <c r="S145" s="206"/>
      <c r="T145" s="64" t="s">
        <v>195</v>
      </c>
      <c r="U145" s="64">
        <f>COUNTIF(D132:D151,"창")</f>
        <v>0</v>
      </c>
      <c r="V145" s="65">
        <f>COUNTIF(I132:I151,"창")</f>
        <v>0</v>
      </c>
      <c r="W145" s="64" t="s">
        <v>26</v>
      </c>
      <c r="X145" s="64">
        <f>SUMIF(D132:D151,"창",F132:F151)</f>
        <v>0</v>
      </c>
      <c r="Y145" s="65">
        <f>SUMIF(I132:I151,"창",K132:K151)</f>
        <v>0</v>
      </c>
      <c r="Z145" s="64">
        <f>COUNTIF(AJ132:AJ151,"창국")+COUNTIF(AJ132:AJ151,"창공")</f>
        <v>0</v>
      </c>
      <c r="AA145" s="65">
        <f>COUNTIF(AK132:AK151,"창국")+COUNTIF(AK132:AK151,"창공")</f>
        <v>0</v>
      </c>
      <c r="AB145" s="64" t="s">
        <v>26</v>
      </c>
      <c r="AC145" s="64">
        <f>SUMIF(AJ132:AJ151,"창국",F132:F151)+SUMIF(AJ132:AJ151,"창공",F132:F151)</f>
        <v>0</v>
      </c>
      <c r="AD145" s="65">
        <f>SUMIF(AK132:AK151,"창국",K132:K151)+SUMIF(AK132:AK151,"창공",K132:K151)</f>
        <v>0</v>
      </c>
      <c r="AE145" s="64">
        <f t="shared" si="26"/>
        <v>0</v>
      </c>
      <c r="AF145" s="65">
        <f t="shared" si="26"/>
        <v>0</v>
      </c>
      <c r="AG145" s="64" t="s">
        <v>26</v>
      </c>
      <c r="AH145" s="64">
        <f t="shared" si="27"/>
        <v>0</v>
      </c>
      <c r="AI145" s="65">
        <f t="shared" si="27"/>
        <v>0</v>
      </c>
      <c r="AJ145" s="64" t="str">
        <f t="shared" si="28"/>
        <v/>
      </c>
      <c r="AK145" s="64" t="str">
        <f t="shared" si="29"/>
        <v/>
      </c>
      <c r="AL145" s="66"/>
      <c r="AM145" s="66"/>
    </row>
    <row r="146" spans="1:39" s="67" customFormat="1" ht="24" customHeight="1" x14ac:dyDescent="0.15">
      <c r="A146" s="273" t="s">
        <v>120</v>
      </c>
      <c r="B146" s="222"/>
      <c r="C146" s="229"/>
      <c r="D146" s="136"/>
      <c r="E146" s="265"/>
      <c r="F146" s="230"/>
      <c r="G146" s="224"/>
      <c r="H146" s="228"/>
      <c r="I146" s="232"/>
      <c r="J146" s="269"/>
      <c r="K146" s="231"/>
      <c r="L146" s="123"/>
      <c r="M146" s="468"/>
      <c r="N146" s="430"/>
      <c r="O146" s="426"/>
      <c r="P146" s="123"/>
      <c r="Q146" s="123"/>
      <c r="R146" s="123"/>
      <c r="S146" s="206"/>
      <c r="T146" s="64" t="s">
        <v>194</v>
      </c>
      <c r="U146" s="64">
        <f>COUNTIF(D132:D151,"장")</f>
        <v>0</v>
      </c>
      <c r="V146" s="65">
        <f>COUNTIF(I132:I151,"장")</f>
        <v>0</v>
      </c>
      <c r="W146" s="64" t="s">
        <v>26</v>
      </c>
      <c r="X146" s="64">
        <f>SUMIF(D132:D151,"장",F132:F151)</f>
        <v>0</v>
      </c>
      <c r="Y146" s="65">
        <f>SUMIF(I132:I151,"장",K132:K151)</f>
        <v>0</v>
      </c>
      <c r="Z146" s="64">
        <f>COUNTIF(AJ132:AJ151,"장국")+COUNTIF(AJ132:AJ151,"장장")</f>
        <v>0</v>
      </c>
      <c r="AA146" s="65">
        <f>COUNTIF(AK132:AK151,"장국")+COUNTIF(AK132:AK151,"장장")</f>
        <v>0</v>
      </c>
      <c r="AB146" s="64" t="s">
        <v>26</v>
      </c>
      <c r="AC146" s="64">
        <f>SUMIF(AJ132:AJ151,"장국",F132:F151)+SUMIF(AJ132:AJ151,"장장",F132:F151)</f>
        <v>0</v>
      </c>
      <c r="AD146" s="65">
        <f>SUMIF(AK132:AK151,"장국",K132:K151)+SUMIF(AK132:AK151,"장장",K132:K151)</f>
        <v>0</v>
      </c>
      <c r="AE146" s="64">
        <f t="shared" si="26"/>
        <v>0</v>
      </c>
      <c r="AF146" s="65">
        <f t="shared" si="26"/>
        <v>0</v>
      </c>
      <c r="AG146" s="64" t="s">
        <v>26</v>
      </c>
      <c r="AH146" s="64">
        <f t="shared" si="27"/>
        <v>0</v>
      </c>
      <c r="AI146" s="65">
        <f t="shared" si="27"/>
        <v>0</v>
      </c>
      <c r="AJ146" s="64" t="str">
        <f t="shared" si="28"/>
        <v/>
      </c>
      <c r="AK146" s="64" t="str">
        <f t="shared" si="29"/>
        <v/>
      </c>
      <c r="AL146" s="66"/>
      <c r="AM146" s="66"/>
    </row>
    <row r="147" spans="1:39" s="67" customFormat="1" ht="24" customHeight="1" x14ac:dyDescent="0.15">
      <c r="A147" s="273" t="s">
        <v>121</v>
      </c>
      <c r="B147" s="222"/>
      <c r="C147" s="229"/>
      <c r="D147" s="136"/>
      <c r="E147" s="265"/>
      <c r="F147" s="230"/>
      <c r="G147" s="224"/>
      <c r="H147" s="228"/>
      <c r="I147" s="232"/>
      <c r="J147" s="269"/>
      <c r="K147" s="231"/>
      <c r="L147" s="123"/>
      <c r="M147" s="234"/>
      <c r="N147" s="430"/>
      <c r="O147" s="426"/>
      <c r="P147" s="132"/>
      <c r="Q147" s="132"/>
      <c r="R147" s="132"/>
      <c r="S147" s="206"/>
      <c r="T147" s="70" t="s">
        <v>193</v>
      </c>
      <c r="U147" s="64">
        <f>COUNTIF(D132:D151,"학")</f>
        <v>0</v>
      </c>
      <c r="V147" s="65">
        <f>COUNTIF(I132:I151,"학")</f>
        <v>0</v>
      </c>
      <c r="W147" s="64" t="s">
        <v>26</v>
      </c>
      <c r="X147" s="64">
        <f>SUMIF(D132:D151,"학",F132:F151)</f>
        <v>0</v>
      </c>
      <c r="Y147" s="65">
        <f>SUMIF(I132:I151,"학",K132:K151)</f>
        <v>0</v>
      </c>
      <c r="Z147" s="64">
        <f>COUNTIF(AJ132:AJ151,"학국")+COUNTIF(AJ132:AJ151,"학공")</f>
        <v>0</v>
      </c>
      <c r="AA147" s="65">
        <f>COUNTIF(AK132:AK151,"학국")+COUNTIF(AK132:AK151,"학공")</f>
        <v>0</v>
      </c>
      <c r="AB147" s="64" t="s">
        <v>26</v>
      </c>
      <c r="AC147" s="64">
        <f>SUMIF(AJ132:AJ151,"학국",F132:F151)+SUMIF(AJ132:AJ151,"학공",F132:F151)</f>
        <v>0</v>
      </c>
      <c r="AD147" s="65">
        <f>SUMIF(AK132:AK151,"학국",K132:K151)+SUMIF(AK132:AK151,"학공",K132:K151)</f>
        <v>0</v>
      </c>
      <c r="AE147" s="64">
        <f t="shared" si="26"/>
        <v>0</v>
      </c>
      <c r="AF147" s="65">
        <f t="shared" si="26"/>
        <v>0</v>
      </c>
      <c r="AG147" s="64" t="s">
        <v>26</v>
      </c>
      <c r="AH147" s="64">
        <f t="shared" si="27"/>
        <v>0</v>
      </c>
      <c r="AI147" s="65">
        <f t="shared" si="27"/>
        <v>0</v>
      </c>
      <c r="AJ147" s="64" t="str">
        <f t="shared" si="28"/>
        <v/>
      </c>
      <c r="AK147" s="64" t="str">
        <f t="shared" si="29"/>
        <v/>
      </c>
      <c r="AL147" s="66"/>
      <c r="AM147" s="66"/>
    </row>
    <row r="148" spans="1:39" s="67" customFormat="1" ht="24" customHeight="1" x14ac:dyDescent="0.15">
      <c r="A148" s="273" t="s">
        <v>122</v>
      </c>
      <c r="B148" s="222"/>
      <c r="C148" s="136"/>
      <c r="D148" s="133"/>
      <c r="E148" s="135"/>
      <c r="F148" s="135"/>
      <c r="G148" s="224"/>
      <c r="H148" s="232"/>
      <c r="I148" s="233"/>
      <c r="J148" s="227"/>
      <c r="K148" s="227"/>
      <c r="L148" s="123"/>
      <c r="M148" s="234"/>
      <c r="N148" s="430"/>
      <c r="O148" s="427"/>
      <c r="P148" s="132"/>
      <c r="Q148" s="132"/>
      <c r="R148" s="132"/>
      <c r="S148" s="206"/>
      <c r="T148" s="70" t="s">
        <v>79</v>
      </c>
      <c r="U148" s="64">
        <f>COUNTIF(D132:D151,"목")</f>
        <v>0</v>
      </c>
      <c r="V148" s="65">
        <f>COUNTIF(I132:I151,"목")</f>
        <v>0</v>
      </c>
      <c r="W148" s="64" t="s">
        <v>26</v>
      </c>
      <c r="X148" s="64">
        <f>SUMIF(D132:D151,"목",F132:F151)</f>
        <v>0</v>
      </c>
      <c r="Y148" s="65">
        <f>SUMIF(I132:I151,"목",K132:K151)</f>
        <v>0</v>
      </c>
      <c r="Z148" s="64">
        <f>COUNTIF(AJ132:AJ151,"목국")+COUNTIF(AJ132:AJ151,"목공")</f>
        <v>0</v>
      </c>
      <c r="AA148" s="65">
        <f>COUNTIF(AK132:AK151,"목국")+COUNTIF(AK132:AK151,"목공")</f>
        <v>0</v>
      </c>
      <c r="AB148" s="64" t="s">
        <v>26</v>
      </c>
      <c r="AC148" s="64">
        <f>SUMIF(AJ132:AJ151,"목국",F132:F151)+SUMIF(AJ132:AJ151,"목공",F132:F151)</f>
        <v>0</v>
      </c>
      <c r="AD148" s="65">
        <f>SUMIF(AK132:AK151,"목국",K132:K151)+SUMIF(AK132:AK151,"목공",K132:K151)</f>
        <v>0</v>
      </c>
      <c r="AE148" s="64">
        <f t="shared" si="26"/>
        <v>0</v>
      </c>
      <c r="AF148" s="65">
        <f t="shared" si="26"/>
        <v>0</v>
      </c>
      <c r="AG148" s="64" t="s">
        <v>26</v>
      </c>
      <c r="AH148" s="64">
        <f t="shared" si="27"/>
        <v>0</v>
      </c>
      <c r="AI148" s="65">
        <f t="shared" si="27"/>
        <v>0</v>
      </c>
      <c r="AJ148" s="64" t="str">
        <f t="shared" si="28"/>
        <v/>
      </c>
      <c r="AK148" s="64" t="str">
        <f t="shared" si="29"/>
        <v/>
      </c>
      <c r="AL148" s="66"/>
      <c r="AM148" s="66"/>
    </row>
    <row r="149" spans="1:39" s="67" customFormat="1" ht="24" customHeight="1" x14ac:dyDescent="0.15">
      <c r="A149" s="273" t="s">
        <v>123</v>
      </c>
      <c r="B149" s="222"/>
      <c r="C149" s="229"/>
      <c r="D149" s="136"/>
      <c r="E149" s="265"/>
      <c r="F149" s="230"/>
      <c r="G149" s="224"/>
      <c r="H149" s="228"/>
      <c r="I149" s="232"/>
      <c r="J149" s="269"/>
      <c r="K149" s="231"/>
      <c r="L149" s="123"/>
      <c r="M149" s="234"/>
      <c r="N149" s="430"/>
      <c r="O149" s="427"/>
      <c r="P149" s="123"/>
      <c r="Q149" s="123"/>
      <c r="R149" s="123"/>
      <c r="S149" s="206"/>
      <c r="T149" s="70"/>
      <c r="U149" s="70"/>
      <c r="V149" s="71"/>
      <c r="W149" s="70"/>
      <c r="X149" s="70"/>
      <c r="Y149" s="71"/>
      <c r="Z149" s="64"/>
      <c r="AA149" s="65"/>
      <c r="AB149" s="70"/>
      <c r="AC149" s="64"/>
      <c r="AD149" s="65"/>
      <c r="AE149" s="70"/>
      <c r="AF149" s="71"/>
      <c r="AG149" s="70"/>
      <c r="AH149" s="70"/>
      <c r="AI149" s="71"/>
      <c r="AJ149" s="64" t="str">
        <f t="shared" si="28"/>
        <v/>
      </c>
      <c r="AK149" s="64" t="str">
        <f t="shared" si="29"/>
        <v/>
      </c>
      <c r="AL149" s="66"/>
      <c r="AM149" s="66"/>
    </row>
    <row r="150" spans="1:39" s="67" customFormat="1" ht="24" customHeight="1" x14ac:dyDescent="0.15">
      <c r="A150" s="273" t="s">
        <v>124</v>
      </c>
      <c r="B150" s="222"/>
      <c r="C150" s="229"/>
      <c r="D150" s="136"/>
      <c r="E150" s="265"/>
      <c r="F150" s="230"/>
      <c r="G150" s="224"/>
      <c r="H150" s="228"/>
      <c r="I150" s="232"/>
      <c r="J150" s="269"/>
      <c r="K150" s="231"/>
      <c r="L150" s="123"/>
      <c r="M150" s="234"/>
      <c r="N150" s="430"/>
      <c r="O150" s="427"/>
      <c r="P150" s="132"/>
      <c r="Q150" s="132"/>
      <c r="R150" s="132"/>
      <c r="S150" s="206"/>
      <c r="T150" s="70"/>
      <c r="U150" s="70"/>
      <c r="V150" s="71"/>
      <c r="W150" s="70"/>
      <c r="X150" s="70"/>
      <c r="Y150" s="71"/>
      <c r="Z150" s="64"/>
      <c r="AA150" s="65"/>
      <c r="AB150" s="70"/>
      <c r="AC150" s="64"/>
      <c r="AD150" s="65"/>
      <c r="AE150" s="70"/>
      <c r="AF150" s="71"/>
      <c r="AG150" s="70"/>
      <c r="AH150" s="70"/>
      <c r="AI150" s="71"/>
      <c r="AJ150" s="64" t="str">
        <f t="shared" si="28"/>
        <v/>
      </c>
      <c r="AK150" s="64" t="str">
        <f t="shared" si="29"/>
        <v/>
      </c>
      <c r="AL150" s="66"/>
      <c r="AM150" s="66"/>
    </row>
    <row r="151" spans="1:39" s="67" customFormat="1" ht="24" customHeight="1" x14ac:dyDescent="0.15">
      <c r="A151" s="273" t="s">
        <v>125</v>
      </c>
      <c r="B151" s="222"/>
      <c r="C151" s="229"/>
      <c r="D151" s="136"/>
      <c r="E151" s="265"/>
      <c r="F151" s="230"/>
      <c r="G151" s="224"/>
      <c r="H151" s="228"/>
      <c r="I151" s="232"/>
      <c r="J151" s="269"/>
      <c r="K151" s="231"/>
      <c r="L151" s="123"/>
      <c r="M151" s="468"/>
      <c r="N151" s="430"/>
      <c r="O151" s="426"/>
      <c r="P151" s="123"/>
      <c r="Q151" s="123"/>
      <c r="R151" s="123"/>
      <c r="S151" s="206"/>
      <c r="T151" s="72" t="s">
        <v>37</v>
      </c>
      <c r="U151" s="72">
        <f>COUNTIF(D132:D151,"철")</f>
        <v>0</v>
      </c>
      <c r="V151" s="73">
        <f>COUNTIF(I132:I151,"철")</f>
        <v>0</v>
      </c>
      <c r="W151" s="72" t="s">
        <v>26</v>
      </c>
      <c r="X151" s="72">
        <f>SUMIF(D132:D151,"철",F132:F151)</f>
        <v>0</v>
      </c>
      <c r="Y151" s="73">
        <f>SUMIF(I132:I151,"철",K132:K151)</f>
        <v>0</v>
      </c>
      <c r="Z151" s="64">
        <f>COUNTIF(AJ132:AJ151,"철국")+COUNTIF(AJ132:AJ151,"철공")</f>
        <v>0</v>
      </c>
      <c r="AA151" s="65">
        <f>COUNTIF(AK132:AK151,"철국")+COUNTIF(AK132:AK151,"철공")</f>
        <v>0</v>
      </c>
      <c r="AB151" s="72" t="s">
        <v>26</v>
      </c>
      <c r="AC151" s="64">
        <f>SUMIF(AJ132:AJ151,"철국",F132:F151)+SUMIF(AJ132:AJ151,"철공",F132:F151)</f>
        <v>0</v>
      </c>
      <c r="AD151" s="65">
        <f>SUMIF(AK132:AK151,"철국",K132:K151)+SUMIF(AK132:AK151,"철공",K132:K151)</f>
        <v>0</v>
      </c>
      <c r="AE151" s="72"/>
      <c r="AF151" s="73"/>
      <c r="AG151" s="72"/>
      <c r="AH151" s="72"/>
      <c r="AI151" s="73"/>
      <c r="AJ151" s="64" t="str">
        <f t="shared" si="28"/>
        <v/>
      </c>
      <c r="AK151" s="64" t="str">
        <f t="shared" si="29"/>
        <v/>
      </c>
      <c r="AL151" s="66"/>
      <c r="AM151" s="66"/>
    </row>
    <row r="152" spans="1:39" s="67" customFormat="1" ht="24" customHeight="1" thickBot="1" x14ac:dyDescent="0.2">
      <c r="A152" s="1115" t="s">
        <v>48</v>
      </c>
      <c r="B152" s="1115"/>
      <c r="C152" s="1115"/>
      <c r="D152" s="1115"/>
      <c r="E152" s="1115"/>
      <c r="F152" s="104">
        <f>SUM(F132:F151)</f>
        <v>0</v>
      </c>
      <c r="G152" s="103"/>
      <c r="H152" s="105"/>
      <c r="I152" s="104"/>
      <c r="J152" s="103"/>
      <c r="K152" s="104">
        <f>SUM(K132:K151)</f>
        <v>0</v>
      </c>
      <c r="L152" s="123"/>
      <c r="M152" s="123"/>
      <c r="N152" s="430"/>
      <c r="O152" s="430"/>
      <c r="P152" s="123"/>
      <c r="Q152" s="123"/>
      <c r="R152" s="123"/>
      <c r="S152" s="123"/>
      <c r="T152" s="62" t="s">
        <v>24</v>
      </c>
      <c r="U152" s="63">
        <f t="shared" ref="U152:AA152" si="30">SUM(U132:U151)</f>
        <v>0</v>
      </c>
      <c r="V152" s="63">
        <f t="shared" si="30"/>
        <v>0</v>
      </c>
      <c r="W152" s="63">
        <f t="shared" si="30"/>
        <v>0</v>
      </c>
      <c r="X152" s="63">
        <f t="shared" si="30"/>
        <v>0</v>
      </c>
      <c r="Y152" s="63">
        <f t="shared" si="30"/>
        <v>0</v>
      </c>
      <c r="Z152" s="277">
        <f t="shared" si="30"/>
        <v>0</v>
      </c>
      <c r="AA152" s="278">
        <f t="shared" si="30"/>
        <v>0</v>
      </c>
      <c r="AB152" s="277" t="s">
        <v>26</v>
      </c>
      <c r="AC152" s="277">
        <f>SUM(AC132:AC151)</f>
        <v>0</v>
      </c>
      <c r="AD152" s="278">
        <f>SUM(AD132:AD151)</f>
        <v>0</v>
      </c>
      <c r="AE152" s="63">
        <f>SUM(AE132:AE151)</f>
        <v>0</v>
      </c>
      <c r="AF152" s="63">
        <f>SUM(AF132:AF151)</f>
        <v>0</v>
      </c>
      <c r="AG152" s="63" t="s">
        <v>26</v>
      </c>
      <c r="AH152" s="63">
        <f>SUM(AH132:AH151)</f>
        <v>0</v>
      </c>
      <c r="AI152" s="63">
        <f>SUM(AI132:AI151)</f>
        <v>0</v>
      </c>
      <c r="AJ152" s="63"/>
      <c r="AK152" s="64" t="str">
        <f t="shared" si="29"/>
        <v/>
      </c>
      <c r="AL152" s="66"/>
      <c r="AM152" s="66"/>
    </row>
    <row r="153" spans="1:39" s="67" customFormat="1" ht="24" customHeight="1" x14ac:dyDescent="0.15">
      <c r="A153" s="260">
        <v>141</v>
      </c>
      <c r="B153" s="215"/>
      <c r="C153" s="140"/>
      <c r="D153" s="141"/>
      <c r="E153" s="143"/>
      <c r="F153" s="143"/>
      <c r="G153" s="244"/>
      <c r="H153" s="261"/>
      <c r="I153" s="262"/>
      <c r="J153" s="263"/>
      <c r="K153" s="263"/>
      <c r="L153" s="144"/>
      <c r="M153" s="144"/>
      <c r="N153" s="438"/>
      <c r="O153" s="438"/>
      <c r="P153" s="220"/>
      <c r="Q153" s="220"/>
      <c r="R153" s="220"/>
      <c r="S153" s="221"/>
      <c r="T153" s="64" t="s">
        <v>27</v>
      </c>
      <c r="U153" s="64">
        <f>COUNTIF(D153:D172,"전")</f>
        <v>0</v>
      </c>
      <c r="V153" s="65">
        <f>COUNTIF(I153:I172,"전")</f>
        <v>0</v>
      </c>
      <c r="W153" s="64" t="s">
        <v>26</v>
      </c>
      <c r="X153" s="64">
        <f>SUMIF(D153:D172,"전",F153:F172)</f>
        <v>0</v>
      </c>
      <c r="Y153" s="65">
        <f>SUMIF(I153:I172,"전",K153:K172)</f>
        <v>0</v>
      </c>
      <c r="Z153" s="64">
        <f>COUNTIF(AJ153:AJ172,"전국")+COUNTIF(AJ153:AJ172,"전공")</f>
        <v>0</v>
      </c>
      <c r="AA153" s="65">
        <f>COUNTIF(AK153:AK172,"전국")+COUNTIF(AK153:AK172,"전공")</f>
        <v>0</v>
      </c>
      <c r="AB153" s="64" t="s">
        <v>26</v>
      </c>
      <c r="AC153" s="64">
        <f>SUMIF(AJ153:AJ172,"전국",F153:F172)+SUMIF(AJ153:AJ172,"전공",F153:F172)</f>
        <v>0</v>
      </c>
      <c r="AD153" s="65">
        <f>SUMIF(AK153:AK172,"전국",K153:K172)+SUMIF(AK153:AK172,"전공",K153:K172)</f>
        <v>0</v>
      </c>
      <c r="AE153" s="64">
        <f t="shared" ref="AE153:AF169" si="31">U153-Z153</f>
        <v>0</v>
      </c>
      <c r="AF153" s="65">
        <f t="shared" si="31"/>
        <v>0</v>
      </c>
      <c r="AG153" s="64" t="s">
        <v>26</v>
      </c>
      <c r="AH153" s="64">
        <f t="shared" ref="AH153:AI169" si="32">X153-AC153</f>
        <v>0</v>
      </c>
      <c r="AI153" s="65">
        <f t="shared" si="32"/>
        <v>0</v>
      </c>
      <c r="AJ153" s="64" t="str">
        <f t="shared" ref="AJ153:AJ172" si="33">CONCATENATE(D153,L153)</f>
        <v/>
      </c>
      <c r="AK153" s="64" t="str">
        <f t="shared" si="29"/>
        <v/>
      </c>
    </row>
    <row r="154" spans="1:39" s="67" customFormat="1" ht="24" customHeight="1" x14ac:dyDescent="0.15">
      <c r="A154" s="254">
        <v>142</v>
      </c>
      <c r="B154" s="222"/>
      <c r="C154" s="136"/>
      <c r="D154" s="133"/>
      <c r="E154" s="135"/>
      <c r="F154" s="135"/>
      <c r="G154" s="224"/>
      <c r="H154" s="232"/>
      <c r="I154" s="233"/>
      <c r="J154" s="227"/>
      <c r="K154" s="227"/>
      <c r="L154" s="128"/>
      <c r="M154" s="128"/>
      <c r="N154" s="425"/>
      <c r="O154" s="425"/>
      <c r="P154" s="132"/>
      <c r="Q154" s="132"/>
      <c r="R154" s="132"/>
      <c r="S154" s="253"/>
      <c r="T154" s="64" t="s">
        <v>28</v>
      </c>
      <c r="U154" s="64">
        <f>COUNTIF(D153:D172,"답")</f>
        <v>0</v>
      </c>
      <c r="V154" s="65">
        <f>COUNTIF(I153:I172,"답")</f>
        <v>0</v>
      </c>
      <c r="W154" s="64" t="s">
        <v>26</v>
      </c>
      <c r="X154" s="64">
        <f>SUMIF(D153:D172,"답",F153:F172)</f>
        <v>0</v>
      </c>
      <c r="Y154" s="65">
        <f>SUMIF(I153:I172,"답",K153:K172)</f>
        <v>0</v>
      </c>
      <c r="Z154" s="64">
        <f>COUNTIF(AJ153:AJ172,"답국")+COUNTIF(AJ153:AJ172,"답공")</f>
        <v>0</v>
      </c>
      <c r="AA154" s="65">
        <f>COUNTIF(AK153:AK172,"답국")+COUNTIF(AK153:AK172,"답공")</f>
        <v>0</v>
      </c>
      <c r="AB154" s="64" t="s">
        <v>26</v>
      </c>
      <c r="AC154" s="64">
        <f>SUMIF(AJ153:AJ172,"답국",F153:F172)+SUMIF(AJ153:AJ172,"답공",F153:F172)</f>
        <v>0</v>
      </c>
      <c r="AD154" s="65">
        <f>SUMIF(AK153:AK172,"답국",K153:K172)+SUMIF(AK153:AK172,"답공",K153:K172)</f>
        <v>0</v>
      </c>
      <c r="AE154" s="64">
        <f t="shared" si="31"/>
        <v>0</v>
      </c>
      <c r="AF154" s="65">
        <f t="shared" si="31"/>
        <v>0</v>
      </c>
      <c r="AG154" s="64" t="s">
        <v>26</v>
      </c>
      <c r="AH154" s="64">
        <f t="shared" si="32"/>
        <v>0</v>
      </c>
      <c r="AI154" s="65">
        <f t="shared" si="32"/>
        <v>0</v>
      </c>
      <c r="AJ154" s="64" t="str">
        <f t="shared" si="33"/>
        <v/>
      </c>
      <c r="AK154" s="64" t="str">
        <f t="shared" si="29"/>
        <v/>
      </c>
    </row>
    <row r="155" spans="1:39" s="67" customFormat="1" ht="24" customHeight="1" x14ac:dyDescent="0.15">
      <c r="A155" s="254">
        <v>143</v>
      </c>
      <c r="B155" s="222"/>
      <c r="C155" s="229"/>
      <c r="D155" s="136"/>
      <c r="E155" s="265"/>
      <c r="F155" s="230"/>
      <c r="G155" s="224"/>
      <c r="H155" s="228"/>
      <c r="I155" s="232"/>
      <c r="J155" s="269"/>
      <c r="K155" s="231"/>
      <c r="L155" s="128"/>
      <c r="M155" s="128"/>
      <c r="N155" s="425"/>
      <c r="O155" s="425"/>
      <c r="P155" s="256"/>
      <c r="Q155" s="256"/>
      <c r="R155" s="256"/>
      <c r="S155" s="206"/>
      <c r="T155" s="64" t="s">
        <v>44</v>
      </c>
      <c r="U155" s="64">
        <f>COUNTIF(D153:D172,"임")</f>
        <v>0</v>
      </c>
      <c r="V155" s="65">
        <f>COUNTIF(I153:I172,"임")</f>
        <v>0</v>
      </c>
      <c r="W155" s="64" t="s">
        <v>26</v>
      </c>
      <c r="X155" s="64">
        <f>SUMIF(D153:D172,"임",F153:F172)</f>
        <v>0</v>
      </c>
      <c r="Y155" s="65">
        <f>SUMIF(I153:I172,"임",K153:K172)</f>
        <v>0</v>
      </c>
      <c r="Z155" s="64">
        <f>COUNTIF(AJ153:AJ172,"임국")+COUNTIF(AJ153:AJ172,"임공")</f>
        <v>0</v>
      </c>
      <c r="AA155" s="65">
        <f>COUNTIF(AK153:AK172,"임국")+COUNTIF(AK153:AK172,"임공")</f>
        <v>0</v>
      </c>
      <c r="AB155" s="64" t="s">
        <v>26</v>
      </c>
      <c r="AC155" s="64">
        <f>SUMIF(AJ153:AJ172,"임국",F153:F172)+SUMIF(AJ153:AJ172,"임공",F153:F172)</f>
        <v>0</v>
      </c>
      <c r="AD155" s="65">
        <f>SUMIF(AK153:AK172,"임국",K153:K172)+SUMIF(AK153:AK172,"임공",K153:K172)</f>
        <v>0</v>
      </c>
      <c r="AE155" s="64">
        <f t="shared" si="31"/>
        <v>0</v>
      </c>
      <c r="AF155" s="65">
        <f t="shared" si="31"/>
        <v>0</v>
      </c>
      <c r="AG155" s="64" t="s">
        <v>26</v>
      </c>
      <c r="AH155" s="64">
        <f t="shared" si="32"/>
        <v>0</v>
      </c>
      <c r="AI155" s="65">
        <f t="shared" si="32"/>
        <v>0</v>
      </c>
      <c r="AJ155" s="64" t="str">
        <f t="shared" si="33"/>
        <v/>
      </c>
      <c r="AK155" s="64" t="str">
        <f t="shared" si="29"/>
        <v/>
      </c>
      <c r="AL155" s="66"/>
      <c r="AM155" s="66"/>
    </row>
    <row r="156" spans="1:39" s="67" customFormat="1" ht="24" customHeight="1" x14ac:dyDescent="0.15">
      <c r="A156" s="273" t="s">
        <v>126</v>
      </c>
      <c r="B156" s="222"/>
      <c r="C156" s="136"/>
      <c r="D156" s="133"/>
      <c r="E156" s="135"/>
      <c r="F156" s="135"/>
      <c r="G156" s="224"/>
      <c r="H156" s="232"/>
      <c r="I156" s="233"/>
      <c r="J156" s="227"/>
      <c r="K156" s="227"/>
      <c r="L156" s="128"/>
      <c r="M156" s="128"/>
      <c r="N156" s="425"/>
      <c r="O156" s="425"/>
      <c r="P156" s="132"/>
      <c r="Q156" s="132"/>
      <c r="R156" s="132"/>
      <c r="S156" s="206"/>
      <c r="T156" s="64" t="s">
        <v>45</v>
      </c>
      <c r="U156" s="64">
        <f>COUNTIF(D153:D172,"대")</f>
        <v>0</v>
      </c>
      <c r="V156" s="65">
        <f>COUNTIF(I153:I172,"대")</f>
        <v>0</v>
      </c>
      <c r="W156" s="64" t="s">
        <v>26</v>
      </c>
      <c r="X156" s="64">
        <f>SUMIF(D153:D172,"대",F153:F172)</f>
        <v>0</v>
      </c>
      <c r="Y156" s="65">
        <f>SUMIF(I153:I172,"대",K153:K172)</f>
        <v>0</v>
      </c>
      <c r="Z156" s="64">
        <f>COUNTIF(AJ153:AJ172,"대국")+COUNTIF(AJ153:AJ172,"대공")</f>
        <v>0</v>
      </c>
      <c r="AA156" s="65">
        <f>COUNTIF(AK153:AK172,"대국")+COUNTIF(AK153:AK172,"대공")</f>
        <v>0</v>
      </c>
      <c r="AB156" s="64" t="s">
        <v>26</v>
      </c>
      <c r="AC156" s="64">
        <f>SUMIF(AJ153:AJ172,"대국",F153:F172)+SUMIF(AJ153:AJ172,"대공",F153:F172)</f>
        <v>0</v>
      </c>
      <c r="AD156" s="65">
        <f>SUMIF(AK153:AK172,"대국",K153:K172)+SUMIF(AK153:AK172,"대공",K153:K172)</f>
        <v>0</v>
      </c>
      <c r="AE156" s="64">
        <f t="shared" si="31"/>
        <v>0</v>
      </c>
      <c r="AF156" s="65">
        <f t="shared" si="31"/>
        <v>0</v>
      </c>
      <c r="AG156" s="64" t="s">
        <v>26</v>
      </c>
      <c r="AH156" s="64">
        <f t="shared" si="32"/>
        <v>0</v>
      </c>
      <c r="AI156" s="65">
        <f t="shared" si="32"/>
        <v>0</v>
      </c>
      <c r="AJ156" s="64" t="str">
        <f t="shared" si="33"/>
        <v/>
      </c>
      <c r="AK156" s="64" t="str">
        <f t="shared" si="29"/>
        <v/>
      </c>
      <c r="AL156" s="66"/>
      <c r="AM156" s="66"/>
    </row>
    <row r="157" spans="1:39" s="67" customFormat="1" ht="24" customHeight="1" x14ac:dyDescent="0.15">
      <c r="A157" s="273" t="s">
        <v>127</v>
      </c>
      <c r="B157" s="222"/>
      <c r="C157" s="229"/>
      <c r="D157" s="136"/>
      <c r="E157" s="265"/>
      <c r="F157" s="230"/>
      <c r="G157" s="224"/>
      <c r="H157" s="228"/>
      <c r="I157" s="232"/>
      <c r="J157" s="269"/>
      <c r="K157" s="231"/>
      <c r="L157" s="128"/>
      <c r="M157" s="128"/>
      <c r="N157" s="425"/>
      <c r="O157" s="425"/>
      <c r="P157" s="132"/>
      <c r="Q157" s="132"/>
      <c r="R157" s="132"/>
      <c r="S157" s="206"/>
      <c r="T157" s="64" t="s">
        <v>31</v>
      </c>
      <c r="U157" s="64">
        <f>COUNTIF(D153:D172,"도")</f>
        <v>0</v>
      </c>
      <c r="V157" s="65">
        <f>COUNTIF(I153:I172,"도")</f>
        <v>0</v>
      </c>
      <c r="W157" s="64" t="s">
        <v>26</v>
      </c>
      <c r="X157" s="64">
        <f>SUMIF(D153:D172,"도",F153:F172)</f>
        <v>0</v>
      </c>
      <c r="Y157" s="65">
        <f>SUMIF(I153:I172,"도",K153:K172)</f>
        <v>0</v>
      </c>
      <c r="Z157" s="64">
        <f>COUNTIF(AJ153:AJ172,"도국")+COUNTIF(AJ153:AJ172,"도공")</f>
        <v>0</v>
      </c>
      <c r="AA157" s="65">
        <f>COUNTIF(AK153:AK172,"도국")+COUNTIF(AK153:AK172,"도공")</f>
        <v>0</v>
      </c>
      <c r="AB157" s="64" t="s">
        <v>26</v>
      </c>
      <c r="AC157" s="64">
        <f>SUMIF(AJ153:AJ172,"도국",F153:F172)+SUMIF(AJ153:AJ172,"도공",F153:F172)</f>
        <v>0</v>
      </c>
      <c r="AD157" s="65">
        <f>SUMIF(AK153:AK172,"도국",K153:K172)+SUMIF(AK153:AK172,"도공",K153:K172)</f>
        <v>0</v>
      </c>
      <c r="AE157" s="64">
        <f t="shared" si="31"/>
        <v>0</v>
      </c>
      <c r="AF157" s="65">
        <f t="shared" si="31"/>
        <v>0</v>
      </c>
      <c r="AG157" s="64" t="s">
        <v>26</v>
      </c>
      <c r="AH157" s="64">
        <f t="shared" si="32"/>
        <v>0</v>
      </c>
      <c r="AI157" s="65">
        <f t="shared" si="32"/>
        <v>0</v>
      </c>
      <c r="AJ157" s="64" t="str">
        <f t="shared" si="33"/>
        <v/>
      </c>
      <c r="AK157" s="64" t="str">
        <f t="shared" si="29"/>
        <v/>
      </c>
      <c r="AL157" s="66"/>
      <c r="AM157" s="66"/>
    </row>
    <row r="158" spans="1:39" s="67" customFormat="1" ht="24" customHeight="1" x14ac:dyDescent="0.15">
      <c r="A158" s="273" t="s">
        <v>128</v>
      </c>
      <c r="B158" s="222"/>
      <c r="C158" s="136"/>
      <c r="D158" s="133"/>
      <c r="E158" s="290"/>
      <c r="F158" s="135"/>
      <c r="G158" s="291"/>
      <c r="H158" s="232"/>
      <c r="I158" s="233"/>
      <c r="J158" s="292"/>
      <c r="K158" s="227"/>
      <c r="L158" s="128"/>
      <c r="M158" s="137"/>
      <c r="N158" s="425"/>
      <c r="O158" s="428"/>
      <c r="P158" s="132"/>
      <c r="Q158" s="132"/>
      <c r="R158" s="132"/>
      <c r="S158" s="253"/>
      <c r="T158" s="64" t="s">
        <v>32</v>
      </c>
      <c r="U158" s="68">
        <f>COUNTIF(D153:D172,"천")</f>
        <v>0</v>
      </c>
      <c r="V158" s="69">
        <f>COUNTIF(I153:I172,"천")</f>
        <v>0</v>
      </c>
      <c r="W158" s="64" t="s">
        <v>26</v>
      </c>
      <c r="X158" s="64">
        <f>SUMIF(D153:D172,"천",F153:F172)</f>
        <v>0</v>
      </c>
      <c r="Y158" s="65">
        <f>SUMIF(I153:I172,"천",K153:K172)</f>
        <v>0</v>
      </c>
      <c r="Z158" s="64">
        <f>COUNTIF(AJ153:AJ172,"천국")+COUNTIF(AJ153:AJ172,"천공")</f>
        <v>0</v>
      </c>
      <c r="AA158" s="65">
        <f>COUNTIF(AK153:AK172,"천국")+COUNTIF(AK153:AK172,"천공")</f>
        <v>0</v>
      </c>
      <c r="AB158" s="64" t="s">
        <v>26</v>
      </c>
      <c r="AC158" s="64">
        <f>SUMIF(AJ153:AJ172,"천국",F153:F172)+SUMIF(AJ153:AJ172,"천공",F153:F172)</f>
        <v>0</v>
      </c>
      <c r="AD158" s="65">
        <f>SUMIF(AK153:AK172,"천국",K153:K172)+SUMIF(AK153:AK172,"천공",K153:K172)</f>
        <v>0</v>
      </c>
      <c r="AE158" s="64">
        <f t="shared" si="31"/>
        <v>0</v>
      </c>
      <c r="AF158" s="65">
        <f t="shared" si="31"/>
        <v>0</v>
      </c>
      <c r="AG158" s="64" t="s">
        <v>26</v>
      </c>
      <c r="AH158" s="64">
        <f t="shared" si="32"/>
        <v>0</v>
      </c>
      <c r="AI158" s="65">
        <f t="shared" si="32"/>
        <v>0</v>
      </c>
      <c r="AJ158" s="64" t="str">
        <f t="shared" si="33"/>
        <v/>
      </c>
      <c r="AK158" s="64" t="str">
        <f t="shared" si="29"/>
        <v/>
      </c>
      <c r="AL158" s="66"/>
      <c r="AM158" s="66"/>
    </row>
    <row r="159" spans="1:39" s="67" customFormat="1" ht="24" customHeight="1" x14ac:dyDescent="0.15">
      <c r="A159" s="273" t="s">
        <v>129</v>
      </c>
      <c r="B159" s="222"/>
      <c r="C159" s="229"/>
      <c r="D159" s="235"/>
      <c r="E159" s="230"/>
      <c r="F159" s="230"/>
      <c r="G159" s="224"/>
      <c r="H159" s="228"/>
      <c r="I159" s="236"/>
      <c r="J159" s="231"/>
      <c r="K159" s="231"/>
      <c r="L159" s="128"/>
      <c r="M159" s="137"/>
      <c r="N159" s="425"/>
      <c r="O159" s="428"/>
      <c r="P159" s="256"/>
      <c r="Q159" s="256"/>
      <c r="R159" s="256"/>
      <c r="S159" s="206"/>
      <c r="T159" s="64" t="s">
        <v>33</v>
      </c>
      <c r="U159" s="64">
        <f>COUNTIF(D153:D172,"구")</f>
        <v>0</v>
      </c>
      <c r="V159" s="65">
        <f>COUNTIF(I153:I172,"구")</f>
        <v>0</v>
      </c>
      <c r="W159" s="64" t="s">
        <v>26</v>
      </c>
      <c r="X159" s="64">
        <f>SUMIF(D153:D172,"구",F153:F172)</f>
        <v>0</v>
      </c>
      <c r="Y159" s="65">
        <f>SUMIF(I153:I172,"구",K153:K172)</f>
        <v>0</v>
      </c>
      <c r="Z159" s="64">
        <f>COUNTIF(AJ153:AJ172,"구국")+COUNTIF(AJ153:AJ172,"구공")</f>
        <v>0</v>
      </c>
      <c r="AA159" s="65">
        <f>COUNTIF(AK153:AK172,"구국")+COUNTIF(AK153:AK172,"구공")</f>
        <v>0</v>
      </c>
      <c r="AB159" s="64" t="s">
        <v>26</v>
      </c>
      <c r="AC159" s="64">
        <f>SUMIF(AJ153:AJ172,"구국",F153:F172)+SUMIF(AJ153:AJ172,"구공",F153:F172)</f>
        <v>0</v>
      </c>
      <c r="AD159" s="65">
        <f>SUMIF(AK153:AK172,"구국",K153:K172)+SUMIF(AK153:AK172,"구공",K153:K172)</f>
        <v>0</v>
      </c>
      <c r="AE159" s="64">
        <f t="shared" si="31"/>
        <v>0</v>
      </c>
      <c r="AF159" s="65">
        <f t="shared" si="31"/>
        <v>0</v>
      </c>
      <c r="AG159" s="64" t="s">
        <v>26</v>
      </c>
      <c r="AH159" s="64">
        <f t="shared" si="32"/>
        <v>0</v>
      </c>
      <c r="AI159" s="65">
        <f t="shared" si="32"/>
        <v>0</v>
      </c>
      <c r="AJ159" s="64" t="str">
        <f t="shared" si="33"/>
        <v/>
      </c>
      <c r="AK159" s="64" t="str">
        <f t="shared" si="29"/>
        <v/>
      </c>
      <c r="AL159" s="66"/>
      <c r="AM159" s="66"/>
    </row>
    <row r="160" spans="1:39" s="67" customFormat="1" ht="24" customHeight="1" x14ac:dyDescent="0.15">
      <c r="A160" s="273" t="s">
        <v>130</v>
      </c>
      <c r="B160" s="222"/>
      <c r="C160" s="136"/>
      <c r="D160" s="133"/>
      <c r="E160" s="230"/>
      <c r="F160" s="230"/>
      <c r="G160" s="224"/>
      <c r="H160" s="232"/>
      <c r="I160" s="233"/>
      <c r="J160" s="231"/>
      <c r="K160" s="231"/>
      <c r="L160" s="128"/>
      <c r="M160" s="128"/>
      <c r="N160" s="425"/>
      <c r="O160" s="425"/>
      <c r="P160" s="132"/>
      <c r="Q160" s="132"/>
      <c r="R160" s="132"/>
      <c r="S160" s="206"/>
      <c r="T160" s="64" t="s">
        <v>34</v>
      </c>
      <c r="U160" s="64">
        <f>COUNTIF(D153:D172,"제")</f>
        <v>0</v>
      </c>
      <c r="V160" s="65">
        <f>COUNTIF(I153:I172,"제")</f>
        <v>0</v>
      </c>
      <c r="W160" s="64" t="s">
        <v>26</v>
      </c>
      <c r="X160" s="64">
        <f>SUMIF(D153:D172,"제",F153:F172)</f>
        <v>0</v>
      </c>
      <c r="Y160" s="65">
        <f>SUMIF(I153:I172,"제",K153:K172)</f>
        <v>0</v>
      </c>
      <c r="Z160" s="64">
        <f>COUNTIF(AJ153:AJ172,"제국")+COUNTIF(AJ153:AJ172,"제공")</f>
        <v>0</v>
      </c>
      <c r="AA160" s="65">
        <f>COUNTIF(AK153:AK172,"제국")+COUNTIF(AK153:AK172,"제공")</f>
        <v>0</v>
      </c>
      <c r="AB160" s="64" t="s">
        <v>26</v>
      </c>
      <c r="AC160" s="64">
        <f>SUMIF(AJ153:AJ172,"제국",F153:F172)+SUMIF(AJ153:AJ172,"제공",F153:F172)</f>
        <v>0</v>
      </c>
      <c r="AD160" s="65">
        <f>SUMIF(AK153:AK172,"제국",K153:K172)+SUMIF(AK153:AK172,"제공",K153:K172)</f>
        <v>0</v>
      </c>
      <c r="AE160" s="64">
        <f t="shared" si="31"/>
        <v>0</v>
      </c>
      <c r="AF160" s="65">
        <f t="shared" si="31"/>
        <v>0</v>
      </c>
      <c r="AG160" s="64" t="s">
        <v>26</v>
      </c>
      <c r="AH160" s="64">
        <f t="shared" si="32"/>
        <v>0</v>
      </c>
      <c r="AI160" s="65">
        <f t="shared" si="32"/>
        <v>0</v>
      </c>
      <c r="AJ160" s="64" t="str">
        <f t="shared" si="33"/>
        <v/>
      </c>
      <c r="AK160" s="64" t="str">
        <f t="shared" si="29"/>
        <v/>
      </c>
      <c r="AL160" s="66"/>
      <c r="AM160" s="66"/>
    </row>
    <row r="161" spans="1:39" s="67" customFormat="1" ht="24" customHeight="1" x14ac:dyDescent="0.15">
      <c r="A161" s="273" t="s">
        <v>131</v>
      </c>
      <c r="B161" s="222"/>
      <c r="C161" s="136"/>
      <c r="D161" s="133"/>
      <c r="E161" s="135"/>
      <c r="F161" s="265"/>
      <c r="G161" s="224"/>
      <c r="H161" s="232"/>
      <c r="I161" s="233"/>
      <c r="J161" s="227"/>
      <c r="K161" s="269"/>
      <c r="L161" s="128"/>
      <c r="M161" s="128"/>
      <c r="N161" s="425"/>
      <c r="O161" s="425"/>
      <c r="P161" s="132"/>
      <c r="Q161" s="132"/>
      <c r="R161" s="132"/>
      <c r="S161" s="206"/>
      <c r="T161" s="64" t="s">
        <v>46</v>
      </c>
      <c r="U161" s="64">
        <f>COUNTIF(D153:D172,"유")</f>
        <v>0</v>
      </c>
      <c r="V161" s="65">
        <f>COUNTIF(I153:I172,"유")</f>
        <v>0</v>
      </c>
      <c r="W161" s="64" t="s">
        <v>26</v>
      </c>
      <c r="X161" s="64">
        <f>SUMIF(D153:D172,"유",F153:F172)</f>
        <v>0</v>
      </c>
      <c r="Y161" s="65">
        <f>SUMIF(I153:I172,"유",K153:K172)</f>
        <v>0</v>
      </c>
      <c r="Z161" s="64">
        <f>COUNTIF(AJ153:AJ172,"유국")+COUNTIF(AJ153:AJ172,"유공")</f>
        <v>0</v>
      </c>
      <c r="AA161" s="65">
        <f>COUNTIF(AK153:AK172,"유국")+COUNTIF(AK153:AK172,"유공")</f>
        <v>0</v>
      </c>
      <c r="AB161" s="64" t="s">
        <v>26</v>
      </c>
      <c r="AC161" s="64">
        <f>SUMIF(AJ153:AJ172,"유국",F153:F172)+SUMIF(AJ153:AJ172,"유공",F153:F172)</f>
        <v>0</v>
      </c>
      <c r="AD161" s="65">
        <f>SUMIF(AK153:AK172,"유국",K153:K172)+SUMIF(AK153:AK172,"유공",K153:K172)</f>
        <v>0</v>
      </c>
      <c r="AE161" s="64">
        <f t="shared" si="31"/>
        <v>0</v>
      </c>
      <c r="AF161" s="65">
        <f t="shared" si="31"/>
        <v>0</v>
      </c>
      <c r="AG161" s="64" t="s">
        <v>26</v>
      </c>
      <c r="AH161" s="64">
        <f t="shared" si="32"/>
        <v>0</v>
      </c>
      <c r="AI161" s="65">
        <f t="shared" si="32"/>
        <v>0</v>
      </c>
      <c r="AJ161" s="64" t="str">
        <f t="shared" si="33"/>
        <v/>
      </c>
      <c r="AK161" s="64" t="str">
        <f t="shared" si="29"/>
        <v/>
      </c>
      <c r="AL161" s="66"/>
      <c r="AM161" s="66"/>
    </row>
    <row r="162" spans="1:39" s="67" customFormat="1" ht="24" customHeight="1" x14ac:dyDescent="0.15">
      <c r="A162" s="273" t="s">
        <v>132</v>
      </c>
      <c r="B162" s="222"/>
      <c r="C162" s="229"/>
      <c r="D162" s="136"/>
      <c r="E162" s="265"/>
      <c r="F162" s="230"/>
      <c r="G162" s="224"/>
      <c r="H162" s="228"/>
      <c r="I162" s="232"/>
      <c r="J162" s="269"/>
      <c r="K162" s="231"/>
      <c r="L162" s="128"/>
      <c r="M162" s="128"/>
      <c r="N162" s="425"/>
      <c r="O162" s="425"/>
      <c r="P162" s="123"/>
      <c r="Q162" s="123"/>
      <c r="R162" s="123"/>
      <c r="S162" s="206"/>
      <c r="T162" s="64" t="s">
        <v>47</v>
      </c>
      <c r="U162" s="64">
        <f>COUNTIF(D153:D172,"과")</f>
        <v>0</v>
      </c>
      <c r="V162" s="65">
        <f>COUNTIF(I153:I172,"과")</f>
        <v>0</v>
      </c>
      <c r="W162" s="64" t="s">
        <v>26</v>
      </c>
      <c r="X162" s="64">
        <f>SUMIF(D153:D172,"과",F153:F172)</f>
        <v>0</v>
      </c>
      <c r="Y162" s="65">
        <f>SUMIF(I153:I172,"과",K153:K172)</f>
        <v>0</v>
      </c>
      <c r="Z162" s="64">
        <f>COUNTIF(AJ153:AJ172,"과국")+COUNTIF(AJ153:AJ172,"과공")</f>
        <v>0</v>
      </c>
      <c r="AA162" s="65">
        <f>COUNTIF(AK153:AK172,"과국")+COUNTIF(AK153:AK172,"과공")</f>
        <v>0</v>
      </c>
      <c r="AB162" s="64" t="s">
        <v>26</v>
      </c>
      <c r="AC162" s="64">
        <f>SUMIF(AJ153:AJ172,"과국",F153:F172)+SUMIF(AJ153:AJ172,"과공",F153:F172)</f>
        <v>0</v>
      </c>
      <c r="AD162" s="65">
        <f>SUMIF(AK153:AK172,"과국",K153:K172)+SUMIF(AK153:AK172,"과공",K153:K172)</f>
        <v>0</v>
      </c>
      <c r="AE162" s="64">
        <f t="shared" si="31"/>
        <v>0</v>
      </c>
      <c r="AF162" s="65">
        <f t="shared" si="31"/>
        <v>0</v>
      </c>
      <c r="AG162" s="64" t="s">
        <v>26</v>
      </c>
      <c r="AH162" s="64">
        <f t="shared" si="32"/>
        <v>0</v>
      </c>
      <c r="AI162" s="65">
        <f t="shared" si="32"/>
        <v>0</v>
      </c>
      <c r="AJ162" s="64" t="str">
        <f t="shared" si="33"/>
        <v/>
      </c>
      <c r="AK162" s="64" t="str">
        <f t="shared" si="29"/>
        <v/>
      </c>
      <c r="AL162" s="66"/>
      <c r="AM162" s="66"/>
    </row>
    <row r="163" spans="1:39" s="67" customFormat="1" ht="24" customHeight="1" x14ac:dyDescent="0.15">
      <c r="A163" s="273" t="s">
        <v>133</v>
      </c>
      <c r="B163" s="222"/>
      <c r="C163" s="136"/>
      <c r="D163" s="133"/>
      <c r="E163" s="230"/>
      <c r="F163" s="230"/>
      <c r="G163" s="224"/>
      <c r="H163" s="232"/>
      <c r="I163" s="233"/>
      <c r="J163" s="231"/>
      <c r="K163" s="231"/>
      <c r="L163" s="128"/>
      <c r="M163" s="128"/>
      <c r="N163" s="425"/>
      <c r="O163" s="425"/>
      <c r="P163" s="132"/>
      <c r="Q163" s="132"/>
      <c r="R163" s="132"/>
      <c r="S163" s="206"/>
      <c r="T163" s="64" t="s">
        <v>36</v>
      </c>
      <c r="U163" s="64">
        <f>COUNTIF(D153:D172,"묘")</f>
        <v>0</v>
      </c>
      <c r="V163" s="65">
        <f>COUNTIF(I153:I172,"묘")</f>
        <v>0</v>
      </c>
      <c r="W163" s="64" t="s">
        <v>26</v>
      </c>
      <c r="X163" s="64">
        <f>SUMIF(D153:D172,"묘",F153:F172)</f>
        <v>0</v>
      </c>
      <c r="Y163" s="65">
        <f>SUMIF(I153:I172,"묘",K153:K172)</f>
        <v>0</v>
      </c>
      <c r="Z163" s="64">
        <f>COUNTIF(AJ153:AJ172,"묘국")+COUNTIF(AJ153:AJ172,"묘공")</f>
        <v>0</v>
      </c>
      <c r="AA163" s="65">
        <f>COUNTIF(AK153:AK172,"묘국")+COUNTIF(AK153:AK172,"묘공")</f>
        <v>0</v>
      </c>
      <c r="AB163" s="64" t="s">
        <v>26</v>
      </c>
      <c r="AC163" s="64">
        <f>SUMIF(AJ153:AJ172,"묘국",F153:F172)+SUMIF(AJ153:AJ172,"묘공",F153:F172)</f>
        <v>0</v>
      </c>
      <c r="AD163" s="65">
        <f>SUMIF(AK153:AK172,"묘국",K153:K172)+SUMIF(AK153:AK172,"묘공",K153:K172)</f>
        <v>0</v>
      </c>
      <c r="AE163" s="64">
        <f t="shared" si="31"/>
        <v>0</v>
      </c>
      <c r="AF163" s="65">
        <f t="shared" si="31"/>
        <v>0</v>
      </c>
      <c r="AG163" s="64" t="s">
        <v>26</v>
      </c>
      <c r="AH163" s="64">
        <f t="shared" si="32"/>
        <v>0</v>
      </c>
      <c r="AI163" s="65">
        <f t="shared" si="32"/>
        <v>0</v>
      </c>
      <c r="AJ163" s="64" t="str">
        <f t="shared" si="33"/>
        <v/>
      </c>
      <c r="AK163" s="64" t="str">
        <f t="shared" si="29"/>
        <v/>
      </c>
      <c r="AL163" s="66"/>
      <c r="AM163" s="66"/>
    </row>
    <row r="164" spans="1:39" s="67" customFormat="1" ht="24" customHeight="1" x14ac:dyDescent="0.15">
      <c r="A164" s="273" t="s">
        <v>134</v>
      </c>
      <c r="B164" s="222"/>
      <c r="C164" s="136"/>
      <c r="D164" s="133"/>
      <c r="E164" s="230"/>
      <c r="F164" s="230"/>
      <c r="G164" s="224"/>
      <c r="H164" s="232"/>
      <c r="I164" s="233"/>
      <c r="J164" s="231"/>
      <c r="K164" s="231"/>
      <c r="L164" s="128"/>
      <c r="M164" s="128"/>
      <c r="N164" s="425"/>
      <c r="O164" s="425"/>
      <c r="P164" s="132"/>
      <c r="Q164" s="132"/>
      <c r="R164" s="132"/>
      <c r="S164" s="206"/>
      <c r="T164" s="64" t="s">
        <v>39</v>
      </c>
      <c r="U164" s="64">
        <f>COUNTIF(D153:D172,"수")</f>
        <v>0</v>
      </c>
      <c r="V164" s="65">
        <f>COUNTIF(I153:I172,"수")</f>
        <v>0</v>
      </c>
      <c r="W164" s="64" t="s">
        <v>26</v>
      </c>
      <c r="X164" s="64">
        <f>SUMIF(D153:D172,"수",F153:F172)</f>
        <v>0</v>
      </c>
      <c r="Y164" s="65">
        <f>SUMIF(I153:I172,"수",K153:K172)</f>
        <v>0</v>
      </c>
      <c r="Z164" s="64">
        <f>COUNTIF(AJ153:AJ172,"수국")+COUNTIF(AJ153:AJ172,"수공")</f>
        <v>0</v>
      </c>
      <c r="AA164" s="65">
        <f>COUNTIF(AK153:AK172,"수국")+COUNTIF(AK153:AK172,"수공")</f>
        <v>0</v>
      </c>
      <c r="AB164" s="64" t="s">
        <v>26</v>
      </c>
      <c r="AC164" s="64">
        <f>SUMIF(AJ153:AJ172,"수국",F153:F172)+SUMIF(AJ153:AJ172,"수공",F153:F172)</f>
        <v>0</v>
      </c>
      <c r="AD164" s="65">
        <f>SUMIF(AK153:AK172,"수국",K153:K172)+SUMIF(AK153:AK172,"수공",K153:K172)</f>
        <v>0</v>
      </c>
      <c r="AE164" s="64">
        <f t="shared" si="31"/>
        <v>0</v>
      </c>
      <c r="AF164" s="65">
        <f t="shared" si="31"/>
        <v>0</v>
      </c>
      <c r="AG164" s="64" t="s">
        <v>26</v>
      </c>
      <c r="AH164" s="64">
        <f t="shared" si="32"/>
        <v>0</v>
      </c>
      <c r="AI164" s="65">
        <f t="shared" si="32"/>
        <v>0</v>
      </c>
      <c r="AJ164" s="64" t="str">
        <f t="shared" si="33"/>
        <v/>
      </c>
      <c r="AK164" s="64" t="str">
        <f t="shared" si="29"/>
        <v/>
      </c>
      <c r="AL164" s="66"/>
      <c r="AM164" s="66"/>
    </row>
    <row r="165" spans="1:39" s="67" customFormat="1" ht="24" customHeight="1" x14ac:dyDescent="0.15">
      <c r="A165" s="273" t="s">
        <v>135</v>
      </c>
      <c r="B165" s="222"/>
      <c r="C165" s="136"/>
      <c r="D165" s="133"/>
      <c r="E165" s="230"/>
      <c r="F165" s="230"/>
      <c r="G165" s="224"/>
      <c r="H165" s="232"/>
      <c r="I165" s="233"/>
      <c r="J165" s="231"/>
      <c r="K165" s="231"/>
      <c r="L165" s="128"/>
      <c r="M165" s="137"/>
      <c r="N165" s="445"/>
      <c r="O165" s="445"/>
      <c r="P165" s="132"/>
      <c r="Q165" s="102"/>
      <c r="R165" s="132"/>
      <c r="S165" s="206"/>
      <c r="T165" s="64" t="s">
        <v>35</v>
      </c>
      <c r="U165" s="64">
        <f>COUNTIF(D153:D172,"잡")</f>
        <v>0</v>
      </c>
      <c r="V165" s="65">
        <f>COUNTIF(I153:I172,"잡")</f>
        <v>0</v>
      </c>
      <c r="W165" s="64" t="s">
        <v>26</v>
      </c>
      <c r="X165" s="64">
        <f>SUMIF(D153:D172,"잡",F153:F172)</f>
        <v>0</v>
      </c>
      <c r="Y165" s="65">
        <f>SUMIF(I153:I172,"잡",K153:K172)</f>
        <v>0</v>
      </c>
      <c r="Z165" s="64">
        <f>COUNTIF(AJ153:AJ172,"잡국")+COUNTIF(AJ153:AJ172,"잡공")</f>
        <v>0</v>
      </c>
      <c r="AA165" s="65">
        <f>COUNTIF(AK153:AK172,"잡국")+COUNTIF(AK153:AK172,"잡공")</f>
        <v>0</v>
      </c>
      <c r="AB165" s="64" t="s">
        <v>26</v>
      </c>
      <c r="AC165" s="64">
        <f>SUMIF(AJ153:AJ172,"잡국",F153:F172)+SUMIF(AJ153:AJ172,"잡공",F153:F172)</f>
        <v>0</v>
      </c>
      <c r="AD165" s="65">
        <f>SUMIF(AK153:AK172,"잡국",K153:K172)+SUMIF(AK153:AK172,"잡공",K153:K172)</f>
        <v>0</v>
      </c>
      <c r="AE165" s="64">
        <f t="shared" si="31"/>
        <v>0</v>
      </c>
      <c r="AF165" s="65">
        <f t="shared" si="31"/>
        <v>0</v>
      </c>
      <c r="AG165" s="64" t="s">
        <v>26</v>
      </c>
      <c r="AH165" s="64">
        <f t="shared" si="32"/>
        <v>0</v>
      </c>
      <c r="AI165" s="65">
        <f t="shared" si="32"/>
        <v>0</v>
      </c>
      <c r="AJ165" s="64" t="str">
        <f t="shared" si="33"/>
        <v/>
      </c>
      <c r="AK165" s="64" t="str">
        <f t="shared" si="29"/>
        <v/>
      </c>
      <c r="AL165" s="66"/>
      <c r="AM165" s="66"/>
    </row>
    <row r="166" spans="1:39" s="67" customFormat="1" ht="24" customHeight="1" x14ac:dyDescent="0.15">
      <c r="A166" s="273" t="s">
        <v>20</v>
      </c>
      <c r="B166" s="222"/>
      <c r="C166" s="229"/>
      <c r="D166" s="136"/>
      <c r="E166" s="265"/>
      <c r="F166" s="230"/>
      <c r="G166" s="224"/>
      <c r="H166" s="228"/>
      <c r="I166" s="232"/>
      <c r="J166" s="269"/>
      <c r="K166" s="231"/>
      <c r="L166" s="123"/>
      <c r="M166" s="234"/>
      <c r="N166" s="430"/>
      <c r="O166" s="426"/>
      <c r="P166" s="123"/>
      <c r="Q166" s="123"/>
      <c r="R166" s="123"/>
      <c r="S166" s="206"/>
      <c r="T166" s="64" t="s">
        <v>195</v>
      </c>
      <c r="U166" s="64">
        <f>COUNTIF(D153:D172,"창")</f>
        <v>0</v>
      </c>
      <c r="V166" s="65">
        <f>COUNTIF(I153:I172,"창")</f>
        <v>0</v>
      </c>
      <c r="W166" s="64" t="s">
        <v>26</v>
      </c>
      <c r="X166" s="64">
        <f>SUMIF(D153:D172,"창",F153:F172)</f>
        <v>0</v>
      </c>
      <c r="Y166" s="65">
        <f>SUMIF(I153:I172,"창",K153:K172)</f>
        <v>0</v>
      </c>
      <c r="Z166" s="64">
        <f>COUNTIF(AJ153:AJ172,"창국")+COUNTIF(AJ153:AJ172,"창공")</f>
        <v>0</v>
      </c>
      <c r="AA166" s="65">
        <f>COUNTIF(AK153:AK172,"창국")+COUNTIF(AK153:AK172,"창공")</f>
        <v>0</v>
      </c>
      <c r="AB166" s="64" t="s">
        <v>26</v>
      </c>
      <c r="AC166" s="64">
        <f>SUMIF(AJ153:AJ172,"창국",F153:F172)+SUMIF(AJ153:AJ172,"창공",F153:F172)</f>
        <v>0</v>
      </c>
      <c r="AD166" s="65">
        <f>SUMIF(AK153:AK172,"창국",K153:K172)+SUMIF(AK153:AK172,"창공",K153:K172)</f>
        <v>0</v>
      </c>
      <c r="AE166" s="64">
        <f t="shared" si="31"/>
        <v>0</v>
      </c>
      <c r="AF166" s="65">
        <f t="shared" si="31"/>
        <v>0</v>
      </c>
      <c r="AG166" s="64" t="s">
        <v>26</v>
      </c>
      <c r="AH166" s="64">
        <f t="shared" si="32"/>
        <v>0</v>
      </c>
      <c r="AI166" s="65">
        <f t="shared" si="32"/>
        <v>0</v>
      </c>
      <c r="AJ166" s="64" t="str">
        <f t="shared" si="33"/>
        <v/>
      </c>
      <c r="AK166" s="64" t="str">
        <f t="shared" si="29"/>
        <v/>
      </c>
      <c r="AL166" s="66"/>
      <c r="AM166" s="66"/>
    </row>
    <row r="167" spans="1:39" s="67" customFormat="1" ht="24" customHeight="1" x14ac:dyDescent="0.15">
      <c r="A167" s="273" t="s">
        <v>136</v>
      </c>
      <c r="B167" s="222"/>
      <c r="C167" s="229"/>
      <c r="D167" s="136"/>
      <c r="E167" s="265"/>
      <c r="F167" s="230"/>
      <c r="G167" s="224"/>
      <c r="H167" s="228"/>
      <c r="I167" s="232"/>
      <c r="J167" s="269"/>
      <c r="K167" s="231"/>
      <c r="L167" s="123"/>
      <c r="M167" s="234"/>
      <c r="N167" s="430"/>
      <c r="O167" s="427"/>
      <c r="P167" s="123"/>
      <c r="Q167" s="123"/>
      <c r="R167" s="123"/>
      <c r="S167" s="206"/>
      <c r="T167" s="64" t="s">
        <v>194</v>
      </c>
      <c r="U167" s="64">
        <f>COUNTIF(D153:D172,"장")</f>
        <v>0</v>
      </c>
      <c r="V167" s="65">
        <f>COUNTIF(I153:I172,"장")</f>
        <v>0</v>
      </c>
      <c r="W167" s="64" t="s">
        <v>26</v>
      </c>
      <c r="X167" s="64">
        <f>SUMIF(D153:D172,"장",F153:F172)</f>
        <v>0</v>
      </c>
      <c r="Y167" s="65">
        <f>SUMIF(I153:I172,"장",K153:K172)</f>
        <v>0</v>
      </c>
      <c r="Z167" s="64">
        <f>COUNTIF(AJ153:AJ172,"장국")+COUNTIF(AJ153:AJ172,"장장")</f>
        <v>0</v>
      </c>
      <c r="AA167" s="65">
        <f>COUNTIF(AK153:AK172,"장국")+COUNTIF(AK153:AK172,"장장")</f>
        <v>0</v>
      </c>
      <c r="AB167" s="64" t="s">
        <v>26</v>
      </c>
      <c r="AC167" s="64">
        <f>SUMIF(AJ153:AJ172,"장국",F153:F172)+SUMIF(AJ153:AJ172,"장장",F153:F172)</f>
        <v>0</v>
      </c>
      <c r="AD167" s="65">
        <f>SUMIF(AK153:AK172,"장국",K153:K172)+SUMIF(AK153:AK172,"장장",K153:K172)</f>
        <v>0</v>
      </c>
      <c r="AE167" s="64">
        <f t="shared" si="31"/>
        <v>0</v>
      </c>
      <c r="AF167" s="65">
        <f t="shared" si="31"/>
        <v>0</v>
      </c>
      <c r="AG167" s="64" t="s">
        <v>26</v>
      </c>
      <c r="AH167" s="64">
        <f t="shared" si="32"/>
        <v>0</v>
      </c>
      <c r="AI167" s="65">
        <f t="shared" si="32"/>
        <v>0</v>
      </c>
      <c r="AJ167" s="64" t="str">
        <f t="shared" si="33"/>
        <v/>
      </c>
      <c r="AK167" s="64" t="str">
        <f t="shared" si="29"/>
        <v/>
      </c>
      <c r="AL167" s="66"/>
      <c r="AM167" s="66"/>
    </row>
    <row r="168" spans="1:39" s="67" customFormat="1" ht="42" customHeight="1" x14ac:dyDescent="0.15">
      <c r="A168" s="273" t="s">
        <v>137</v>
      </c>
      <c r="B168" s="222"/>
      <c r="C168" s="136"/>
      <c r="D168" s="133"/>
      <c r="E168" s="230"/>
      <c r="F168" s="230"/>
      <c r="G168" s="224"/>
      <c r="H168" s="232"/>
      <c r="I168" s="233"/>
      <c r="J168" s="231"/>
      <c r="K168" s="231"/>
      <c r="L168" s="128"/>
      <c r="M168" s="234"/>
      <c r="N168" s="463"/>
      <c r="O168" s="426"/>
      <c r="P168" s="155"/>
      <c r="Q168" s="155"/>
      <c r="R168" s="155"/>
      <c r="S168" s="206"/>
      <c r="T168" s="70" t="s">
        <v>193</v>
      </c>
      <c r="U168" s="64">
        <f>COUNTIF(D153:D172,"학")</f>
        <v>0</v>
      </c>
      <c r="V168" s="65">
        <f>COUNTIF(I153:I172,"학")</f>
        <v>0</v>
      </c>
      <c r="W168" s="64" t="s">
        <v>26</v>
      </c>
      <c r="X168" s="64">
        <f>SUMIF(D153:D172,"학",F153:F172)</f>
        <v>0</v>
      </c>
      <c r="Y168" s="65">
        <f>SUMIF(I153:I172,"학",K153:K172)</f>
        <v>0</v>
      </c>
      <c r="Z168" s="64">
        <f>COUNTIF(AJ153:AJ172,"학국")+COUNTIF(AJ153:AJ172,"학공")</f>
        <v>0</v>
      </c>
      <c r="AA168" s="65">
        <f>COUNTIF(AK153:AK172,"학국")+COUNTIF(AK153:AK172,"학공")</f>
        <v>0</v>
      </c>
      <c r="AB168" s="64" t="s">
        <v>26</v>
      </c>
      <c r="AC168" s="64">
        <f>SUMIF(AJ153:AJ172,"학국",F153:F172)+SUMIF(AJ153:AJ172,"학공",F153:F172)</f>
        <v>0</v>
      </c>
      <c r="AD168" s="65">
        <f>SUMIF(AK153:AK172,"학국",K153:K172)+SUMIF(AK153:AK172,"학공",K153:K172)</f>
        <v>0</v>
      </c>
      <c r="AE168" s="64">
        <f t="shared" si="31"/>
        <v>0</v>
      </c>
      <c r="AF168" s="65">
        <f t="shared" si="31"/>
        <v>0</v>
      </c>
      <c r="AG168" s="64" t="s">
        <v>26</v>
      </c>
      <c r="AH168" s="64">
        <f t="shared" si="32"/>
        <v>0</v>
      </c>
      <c r="AI168" s="65">
        <f t="shared" si="32"/>
        <v>0</v>
      </c>
      <c r="AJ168" s="64" t="str">
        <f t="shared" si="33"/>
        <v/>
      </c>
      <c r="AK168" s="64" t="str">
        <f t="shared" si="29"/>
        <v/>
      </c>
      <c r="AL168" s="66"/>
      <c r="AM168" s="66"/>
    </row>
    <row r="169" spans="1:39" s="67" customFormat="1" ht="24" customHeight="1" x14ac:dyDescent="0.15">
      <c r="A169" s="273" t="s">
        <v>138</v>
      </c>
      <c r="B169" s="222"/>
      <c r="C169" s="136"/>
      <c r="D169" s="133"/>
      <c r="E169" s="230"/>
      <c r="F169" s="230"/>
      <c r="G169" s="224"/>
      <c r="H169" s="232"/>
      <c r="I169" s="233"/>
      <c r="J169" s="231"/>
      <c r="K169" s="231"/>
      <c r="L169" s="137"/>
      <c r="M169" s="234"/>
      <c r="N169" s="425"/>
      <c r="O169" s="426"/>
      <c r="P169" s="155"/>
      <c r="Q169" s="155"/>
      <c r="R169" s="155"/>
      <c r="S169" s="206"/>
      <c r="T169" s="70" t="s">
        <v>79</v>
      </c>
      <c r="U169" s="64">
        <f>COUNTIF(D153:D172,"목")</f>
        <v>0</v>
      </c>
      <c r="V169" s="65">
        <f>COUNTIF(I153:I172,"목")</f>
        <v>0</v>
      </c>
      <c r="W169" s="64" t="s">
        <v>26</v>
      </c>
      <c r="X169" s="64">
        <f>SUMIF(D153:D172,"목",F153:F172)</f>
        <v>0</v>
      </c>
      <c r="Y169" s="65">
        <f>SUMIF(I153:I172,"목",K153:K172)</f>
        <v>0</v>
      </c>
      <c r="Z169" s="64">
        <f>COUNTIF(AJ153:AJ172,"목국")+COUNTIF(AJ153:AJ172,"목공")</f>
        <v>0</v>
      </c>
      <c r="AA169" s="65">
        <f>COUNTIF(AK153:AK172,"목국")+COUNTIF(AK153:AK172,"목공")</f>
        <v>0</v>
      </c>
      <c r="AB169" s="64" t="s">
        <v>26</v>
      </c>
      <c r="AC169" s="64">
        <f>SUMIF(AJ153:AJ172,"목국",F153:F172)+SUMIF(AJ153:AJ172,"목공",F153:F172)</f>
        <v>0</v>
      </c>
      <c r="AD169" s="65">
        <f>SUMIF(AK153:AK172,"목국",K153:K172)+SUMIF(AK153:AK172,"목공",K153:K172)</f>
        <v>0</v>
      </c>
      <c r="AE169" s="64">
        <f t="shared" si="31"/>
        <v>0</v>
      </c>
      <c r="AF169" s="65">
        <f t="shared" si="31"/>
        <v>0</v>
      </c>
      <c r="AG169" s="64" t="s">
        <v>26</v>
      </c>
      <c r="AH169" s="64">
        <f t="shared" si="32"/>
        <v>0</v>
      </c>
      <c r="AI169" s="65">
        <f t="shared" si="32"/>
        <v>0</v>
      </c>
      <c r="AJ169" s="64" t="str">
        <f t="shared" si="33"/>
        <v/>
      </c>
      <c r="AK169" s="64" t="str">
        <f t="shared" si="29"/>
        <v/>
      </c>
      <c r="AL169" s="66"/>
      <c r="AM169" s="66"/>
    </row>
    <row r="170" spans="1:39" s="67" customFormat="1" ht="24" customHeight="1" x14ac:dyDescent="0.15">
      <c r="A170" s="273" t="s">
        <v>139</v>
      </c>
      <c r="B170" s="222"/>
      <c r="C170" s="136"/>
      <c r="D170" s="133"/>
      <c r="E170" s="230"/>
      <c r="F170" s="230"/>
      <c r="G170" s="224"/>
      <c r="H170" s="232"/>
      <c r="I170" s="233"/>
      <c r="J170" s="231"/>
      <c r="K170" s="231"/>
      <c r="L170" s="128"/>
      <c r="M170" s="128"/>
      <c r="N170" s="425"/>
      <c r="O170" s="428"/>
      <c r="P170" s="156"/>
      <c r="Q170" s="155"/>
      <c r="R170" s="157"/>
      <c r="S170" s="206"/>
      <c r="T170" s="70"/>
      <c r="U170" s="70"/>
      <c r="V170" s="71"/>
      <c r="W170" s="70"/>
      <c r="X170" s="70"/>
      <c r="Y170" s="71"/>
      <c r="Z170" s="64"/>
      <c r="AA170" s="65"/>
      <c r="AB170" s="70"/>
      <c r="AC170" s="64"/>
      <c r="AD170" s="65"/>
      <c r="AE170" s="70"/>
      <c r="AF170" s="71"/>
      <c r="AG170" s="70"/>
      <c r="AH170" s="70"/>
      <c r="AI170" s="71"/>
      <c r="AJ170" s="64" t="str">
        <f t="shared" si="33"/>
        <v/>
      </c>
      <c r="AK170" s="64" t="str">
        <f t="shared" si="29"/>
        <v/>
      </c>
      <c r="AL170" s="66"/>
      <c r="AM170" s="66"/>
    </row>
    <row r="171" spans="1:39" s="67" customFormat="1" ht="24" customHeight="1" x14ac:dyDescent="0.15">
      <c r="A171" s="273" t="s">
        <v>140</v>
      </c>
      <c r="B171" s="222"/>
      <c r="C171" s="229"/>
      <c r="D171" s="136"/>
      <c r="E171" s="265"/>
      <c r="F171" s="230"/>
      <c r="G171" s="224"/>
      <c r="H171" s="228"/>
      <c r="I171" s="232"/>
      <c r="J171" s="269"/>
      <c r="K171" s="231"/>
      <c r="L171" s="123"/>
      <c r="M171" s="234"/>
      <c r="N171" s="430"/>
      <c r="O171" s="426"/>
      <c r="P171" s="123"/>
      <c r="Q171" s="123"/>
      <c r="R171" s="123"/>
      <c r="S171" s="206"/>
      <c r="T171" s="70"/>
      <c r="U171" s="70"/>
      <c r="V171" s="71"/>
      <c r="W171" s="70"/>
      <c r="X171" s="70"/>
      <c r="Y171" s="71"/>
      <c r="Z171" s="64"/>
      <c r="AA171" s="65"/>
      <c r="AB171" s="70"/>
      <c r="AC171" s="64"/>
      <c r="AD171" s="65"/>
      <c r="AE171" s="70"/>
      <c r="AF171" s="71"/>
      <c r="AG171" s="70"/>
      <c r="AH171" s="70"/>
      <c r="AI171" s="71"/>
      <c r="AJ171" s="64" t="str">
        <f t="shared" si="33"/>
        <v/>
      </c>
      <c r="AK171" s="64" t="str">
        <f t="shared" si="29"/>
        <v/>
      </c>
      <c r="AL171" s="66"/>
      <c r="AM171" s="66"/>
    </row>
    <row r="172" spans="1:39" s="67" customFormat="1" ht="24" customHeight="1" x14ac:dyDescent="0.15">
      <c r="A172" s="273" t="s">
        <v>141</v>
      </c>
      <c r="B172" s="222"/>
      <c r="C172" s="229"/>
      <c r="D172" s="136"/>
      <c r="E172" s="265"/>
      <c r="F172" s="230"/>
      <c r="G172" s="224"/>
      <c r="H172" s="228"/>
      <c r="I172" s="232"/>
      <c r="J172" s="269"/>
      <c r="K172" s="231"/>
      <c r="L172" s="123"/>
      <c r="M172" s="234"/>
      <c r="N172" s="430"/>
      <c r="O172" s="426"/>
      <c r="P172" s="123"/>
      <c r="Q172" s="123"/>
      <c r="R172" s="123"/>
      <c r="S172" s="206"/>
      <c r="T172" s="72" t="s">
        <v>37</v>
      </c>
      <c r="U172" s="72">
        <f>COUNTIF(D153:D172,"철")</f>
        <v>0</v>
      </c>
      <c r="V172" s="73">
        <f>COUNTIF(I153:I172,"철")</f>
        <v>0</v>
      </c>
      <c r="W172" s="72" t="s">
        <v>26</v>
      </c>
      <c r="X172" s="72">
        <f>SUMIF(D153:D172,"철",F153:F172)</f>
        <v>0</v>
      </c>
      <c r="Y172" s="73">
        <f>SUMIF(I153:I172,"철",K153:K172)</f>
        <v>0</v>
      </c>
      <c r="Z172" s="64">
        <f>COUNTIF(AJ153:AJ172,"철국")+COUNTIF(AJ153:AJ172,"철공")</f>
        <v>0</v>
      </c>
      <c r="AA172" s="65">
        <f>COUNTIF(AK153:AK172,"철국")+COUNTIF(AK153:AK172,"철공")</f>
        <v>0</v>
      </c>
      <c r="AB172" s="72" t="s">
        <v>26</v>
      </c>
      <c r="AC172" s="64">
        <f>SUMIF(AJ153:AJ172,"철국",F153:F172)+SUMIF(AJ153:AJ172,"철공",F153:F172)</f>
        <v>0</v>
      </c>
      <c r="AD172" s="65">
        <f>SUMIF(AK153:AK172,"철국",K153:K172)+SUMIF(AK153:AK172,"철공",K153:K172)</f>
        <v>0</v>
      </c>
      <c r="AE172" s="72"/>
      <c r="AF172" s="73"/>
      <c r="AG172" s="72"/>
      <c r="AH172" s="72"/>
      <c r="AI172" s="73"/>
      <c r="AJ172" s="64" t="str">
        <f t="shared" si="33"/>
        <v/>
      </c>
      <c r="AK172" s="64" t="str">
        <f t="shared" si="29"/>
        <v/>
      </c>
      <c r="AL172" s="66"/>
      <c r="AM172" s="66"/>
    </row>
    <row r="173" spans="1:39" s="67" customFormat="1" ht="24" customHeight="1" thickBot="1" x14ac:dyDescent="0.2">
      <c r="A173" s="147" t="s">
        <v>48</v>
      </c>
      <c r="B173" s="148"/>
      <c r="C173" s="178"/>
      <c r="D173" s="178"/>
      <c r="E173" s="293"/>
      <c r="F173" s="294">
        <f>SUM(F153:F172)</f>
        <v>0</v>
      </c>
      <c r="G173" s="295"/>
      <c r="H173" s="295"/>
      <c r="I173" s="296"/>
      <c r="J173" s="297"/>
      <c r="K173" s="294">
        <f>SUM(K153:K172)</f>
        <v>0</v>
      </c>
      <c r="L173" s="150"/>
      <c r="M173" s="150"/>
      <c r="N173" s="432"/>
      <c r="O173" s="432"/>
      <c r="P173" s="150"/>
      <c r="Q173" s="150"/>
      <c r="R173" s="150"/>
      <c r="S173" s="151"/>
      <c r="T173" s="62" t="s">
        <v>24</v>
      </c>
      <c r="U173" s="63">
        <f t="shared" ref="U173:AA173" si="34">SUM(U153:U172)</f>
        <v>0</v>
      </c>
      <c r="V173" s="63">
        <f t="shared" si="34"/>
        <v>0</v>
      </c>
      <c r="W173" s="63">
        <f t="shared" si="34"/>
        <v>0</v>
      </c>
      <c r="X173" s="63">
        <f t="shared" si="34"/>
        <v>0</v>
      </c>
      <c r="Y173" s="63">
        <f t="shared" si="34"/>
        <v>0</v>
      </c>
      <c r="Z173" s="277">
        <f t="shared" si="34"/>
        <v>0</v>
      </c>
      <c r="AA173" s="278">
        <f t="shared" si="34"/>
        <v>0</v>
      </c>
      <c r="AB173" s="277" t="s">
        <v>26</v>
      </c>
      <c r="AC173" s="277">
        <f>SUM(AC153:AC172)</f>
        <v>0</v>
      </c>
      <c r="AD173" s="278">
        <f>SUM(AD153:AD172)</f>
        <v>0</v>
      </c>
      <c r="AE173" s="63">
        <f>SUM(AE153:AE172)</f>
        <v>0</v>
      </c>
      <c r="AF173" s="63">
        <f>SUM(AF153:AF172)</f>
        <v>0</v>
      </c>
      <c r="AG173" s="63" t="s">
        <v>26</v>
      </c>
      <c r="AH173" s="63">
        <f>SUM(AH153:AH172)</f>
        <v>0</v>
      </c>
      <c r="AI173" s="63">
        <f>SUM(AI153:AI172)</f>
        <v>0</v>
      </c>
      <c r="AJ173" s="63"/>
      <c r="AK173" s="64" t="str">
        <f t="shared" si="29"/>
        <v/>
      </c>
      <c r="AL173" s="66"/>
      <c r="AM173" s="66"/>
    </row>
    <row r="174" spans="1:39" s="67" customFormat="1" ht="24" customHeight="1" x14ac:dyDescent="0.15">
      <c r="A174" s="214" t="s">
        <v>92</v>
      </c>
      <c r="B174" s="215"/>
      <c r="C174" s="140"/>
      <c r="D174" s="141"/>
      <c r="E174" s="217"/>
      <c r="F174" s="217"/>
      <c r="G174" s="244"/>
      <c r="H174" s="261"/>
      <c r="I174" s="262"/>
      <c r="J174" s="219"/>
      <c r="K174" s="219"/>
      <c r="L174" s="144"/>
      <c r="M174" s="472"/>
      <c r="N174" s="438"/>
      <c r="O174" s="423"/>
      <c r="P174" s="158"/>
      <c r="Q174" s="158"/>
      <c r="R174" s="158"/>
      <c r="S174" s="221"/>
      <c r="T174" s="64" t="s">
        <v>27</v>
      </c>
      <c r="U174" s="64">
        <f>COUNTIF(D174:D193,"전")</f>
        <v>0</v>
      </c>
      <c r="V174" s="65">
        <f>COUNTIF(I174:I193,"전")</f>
        <v>0</v>
      </c>
      <c r="W174" s="64" t="s">
        <v>26</v>
      </c>
      <c r="X174" s="64">
        <f>SUMIF(D174:D193,"전",F174:F193)</f>
        <v>0</v>
      </c>
      <c r="Y174" s="65">
        <f>SUMIF(I174:I193,"전",K174:K193)</f>
        <v>0</v>
      </c>
      <c r="Z174" s="64">
        <f>COUNTIF(AJ174:AJ193,"전국")+COUNTIF(AJ174:AJ193,"전공")</f>
        <v>0</v>
      </c>
      <c r="AA174" s="65">
        <f>COUNTIF(AK174:AK193,"전국")+COUNTIF(AK174:AK193,"전공")</f>
        <v>0</v>
      </c>
      <c r="AB174" s="64" t="s">
        <v>26</v>
      </c>
      <c r="AC174" s="64">
        <f>SUMIF(AJ174:AJ193,"전국",F174:F193)+SUMIF(AJ174:AJ193,"전공",F174:F193)</f>
        <v>0</v>
      </c>
      <c r="AD174" s="65">
        <f>SUMIF(AK174:AK193,"전국",K174:K193)+SUMIF(AK174:AK193,"전공",K174:K193)</f>
        <v>0</v>
      </c>
      <c r="AE174" s="64">
        <f t="shared" ref="AE174:AF190" si="35">U174-Z174</f>
        <v>0</v>
      </c>
      <c r="AF174" s="65">
        <f t="shared" si="35"/>
        <v>0</v>
      </c>
      <c r="AG174" s="64" t="s">
        <v>26</v>
      </c>
      <c r="AH174" s="64">
        <f t="shared" ref="AH174:AI190" si="36">X174-AC174</f>
        <v>0</v>
      </c>
      <c r="AI174" s="65">
        <f t="shared" si="36"/>
        <v>0</v>
      </c>
      <c r="AJ174" s="64" t="str">
        <f t="shared" ref="AJ174:AJ193" si="37">CONCATENATE(D174,L174)</f>
        <v/>
      </c>
      <c r="AK174" s="64" t="str">
        <f t="shared" si="29"/>
        <v/>
      </c>
      <c r="AL174" s="66"/>
      <c r="AM174" s="66"/>
    </row>
    <row r="175" spans="1:39" s="67" customFormat="1" ht="24" customHeight="1" x14ac:dyDescent="0.15">
      <c r="A175" s="273" t="s">
        <v>93</v>
      </c>
      <c r="B175" s="222"/>
      <c r="C175" s="136"/>
      <c r="D175" s="133"/>
      <c r="E175" s="230"/>
      <c r="F175" s="230"/>
      <c r="G175" s="224"/>
      <c r="H175" s="232"/>
      <c r="I175" s="233"/>
      <c r="J175" s="231"/>
      <c r="K175" s="231"/>
      <c r="L175" s="128"/>
      <c r="M175" s="128"/>
      <c r="N175" s="425"/>
      <c r="O175" s="425"/>
      <c r="P175" s="155"/>
      <c r="Q175" s="155"/>
      <c r="R175" s="155"/>
      <c r="S175" s="206"/>
      <c r="T175" s="64" t="s">
        <v>28</v>
      </c>
      <c r="U175" s="64">
        <f>COUNTIF(D174:D193,"답")</f>
        <v>0</v>
      </c>
      <c r="V175" s="65">
        <f>COUNTIF(I174:I193,"답")</f>
        <v>0</v>
      </c>
      <c r="W175" s="64" t="s">
        <v>26</v>
      </c>
      <c r="X175" s="64">
        <f>SUMIF(D174:D193,"답",F174:F193)</f>
        <v>0</v>
      </c>
      <c r="Y175" s="65">
        <f>SUMIF(I174:I193,"답",K174:K193)</f>
        <v>0</v>
      </c>
      <c r="Z175" s="64">
        <f>COUNTIF(AJ174:AJ193,"답국")+COUNTIF(AJ174:AJ193,"답공")</f>
        <v>0</v>
      </c>
      <c r="AA175" s="65">
        <f>COUNTIF(AK174:AK193,"답국")+COUNTIF(AK174:AK193,"답공")</f>
        <v>0</v>
      </c>
      <c r="AB175" s="64" t="s">
        <v>26</v>
      </c>
      <c r="AC175" s="64">
        <f>SUMIF(AJ174:AJ193,"답국",F174:F193)+SUMIF(AJ174:AJ193,"답공",F174:F193)</f>
        <v>0</v>
      </c>
      <c r="AD175" s="65">
        <f>SUMIF(AK174:AK193,"답국",K174:K193)+SUMIF(AK174:AK193,"답공",K174:K193)</f>
        <v>0</v>
      </c>
      <c r="AE175" s="64">
        <f t="shared" si="35"/>
        <v>0</v>
      </c>
      <c r="AF175" s="65">
        <f t="shared" si="35"/>
        <v>0</v>
      </c>
      <c r="AG175" s="64" t="s">
        <v>26</v>
      </c>
      <c r="AH175" s="64">
        <f t="shared" si="36"/>
        <v>0</v>
      </c>
      <c r="AI175" s="65">
        <f t="shared" si="36"/>
        <v>0</v>
      </c>
      <c r="AJ175" s="64" t="str">
        <f t="shared" si="37"/>
        <v/>
      </c>
      <c r="AK175" s="64" t="str">
        <f t="shared" si="29"/>
        <v/>
      </c>
      <c r="AL175" s="66"/>
      <c r="AM175" s="66"/>
    </row>
    <row r="176" spans="1:39" s="67" customFormat="1" ht="24" customHeight="1" x14ac:dyDescent="0.15">
      <c r="A176" s="273" t="s">
        <v>94</v>
      </c>
      <c r="B176" s="222"/>
      <c r="C176" s="136"/>
      <c r="D176" s="133"/>
      <c r="E176" s="230"/>
      <c r="F176" s="230"/>
      <c r="G176" s="224"/>
      <c r="H176" s="232"/>
      <c r="I176" s="233"/>
      <c r="J176" s="231"/>
      <c r="K176" s="231"/>
      <c r="L176" s="128"/>
      <c r="M176" s="128"/>
      <c r="N176" s="425"/>
      <c r="O176" s="425"/>
      <c r="P176" s="123"/>
      <c r="Q176" s="123"/>
      <c r="R176" s="123"/>
      <c r="S176" s="206"/>
      <c r="T176" s="64" t="s">
        <v>44</v>
      </c>
      <c r="U176" s="64">
        <f>COUNTIF(D174:D193,"임")</f>
        <v>0</v>
      </c>
      <c r="V176" s="65">
        <f>COUNTIF(I174:I193,"임")</f>
        <v>0</v>
      </c>
      <c r="W176" s="64" t="s">
        <v>26</v>
      </c>
      <c r="X176" s="64">
        <f>SUMIF(D174:D193,"임",F174:F193)</f>
        <v>0</v>
      </c>
      <c r="Y176" s="65">
        <f>SUMIF(I174:I193,"임",K174:K193)</f>
        <v>0</v>
      </c>
      <c r="Z176" s="64">
        <f>COUNTIF(AJ174:AJ193,"임국")+COUNTIF(AJ174:AJ193,"임공")</f>
        <v>0</v>
      </c>
      <c r="AA176" s="65">
        <f>COUNTIF(AK174:AK193,"임국")+COUNTIF(AK174:AK193,"임공")</f>
        <v>0</v>
      </c>
      <c r="AB176" s="64" t="s">
        <v>26</v>
      </c>
      <c r="AC176" s="64">
        <f>SUMIF(AJ174:AJ193,"임국",F174:F193)+SUMIF(AJ174:AJ193,"임공",F174:F193)</f>
        <v>0</v>
      </c>
      <c r="AD176" s="65">
        <f>SUMIF(AK174:AK193,"임국",K174:K193)+SUMIF(AK174:AK193,"임공",K174:K193)</f>
        <v>0</v>
      </c>
      <c r="AE176" s="64">
        <f t="shared" si="35"/>
        <v>0</v>
      </c>
      <c r="AF176" s="65">
        <f t="shared" si="35"/>
        <v>0</v>
      </c>
      <c r="AG176" s="64" t="s">
        <v>26</v>
      </c>
      <c r="AH176" s="64">
        <f t="shared" si="36"/>
        <v>0</v>
      </c>
      <c r="AI176" s="65">
        <f t="shared" si="36"/>
        <v>0</v>
      </c>
      <c r="AJ176" s="64" t="str">
        <f t="shared" si="37"/>
        <v/>
      </c>
      <c r="AK176" s="64" t="str">
        <f t="shared" si="29"/>
        <v/>
      </c>
      <c r="AL176" s="66"/>
      <c r="AM176" s="66"/>
    </row>
    <row r="177" spans="1:39" s="67" customFormat="1" ht="24" customHeight="1" x14ac:dyDescent="0.15">
      <c r="A177" s="273" t="s">
        <v>142</v>
      </c>
      <c r="B177" s="222"/>
      <c r="C177" s="136"/>
      <c r="D177" s="133"/>
      <c r="E177" s="230"/>
      <c r="F177" s="230"/>
      <c r="G177" s="224"/>
      <c r="H177" s="232"/>
      <c r="I177" s="233"/>
      <c r="J177" s="231"/>
      <c r="K177" s="231"/>
      <c r="L177" s="128"/>
      <c r="M177" s="137"/>
      <c r="N177" s="425"/>
      <c r="O177" s="428"/>
      <c r="P177" s="123"/>
      <c r="Q177" s="123"/>
      <c r="R177" s="123"/>
      <c r="S177" s="206"/>
      <c r="T177" s="64" t="s">
        <v>45</v>
      </c>
      <c r="U177" s="64">
        <f>COUNTIF(D174:D193,"대")</f>
        <v>0</v>
      </c>
      <c r="V177" s="65">
        <f>COUNTIF(I174:I193,"대")</f>
        <v>0</v>
      </c>
      <c r="W177" s="64" t="s">
        <v>26</v>
      </c>
      <c r="X177" s="64">
        <f>SUMIF(D174:D193,"대",F174:F193)</f>
        <v>0</v>
      </c>
      <c r="Y177" s="65">
        <f>SUMIF(I174:I193,"대",K174:K193)</f>
        <v>0</v>
      </c>
      <c r="Z177" s="64">
        <f>COUNTIF(AJ174:AJ193,"대국")+COUNTIF(AJ174:AJ193,"대공")</f>
        <v>0</v>
      </c>
      <c r="AA177" s="65">
        <f>COUNTIF(AK174:AK193,"대국")+COUNTIF(AK174:AK193,"대공")</f>
        <v>0</v>
      </c>
      <c r="AB177" s="64" t="s">
        <v>26</v>
      </c>
      <c r="AC177" s="64">
        <f>SUMIF(AJ174:AJ193,"대국",F174:F193)+SUMIF(AJ174:AJ193,"대공",F174:F193)</f>
        <v>0</v>
      </c>
      <c r="AD177" s="65">
        <f>SUMIF(AK174:AK193,"대국",K174:K193)+SUMIF(AK174:AK193,"대공",K174:K193)</f>
        <v>0</v>
      </c>
      <c r="AE177" s="64">
        <f t="shared" si="35"/>
        <v>0</v>
      </c>
      <c r="AF177" s="65">
        <f t="shared" si="35"/>
        <v>0</v>
      </c>
      <c r="AG177" s="64" t="s">
        <v>26</v>
      </c>
      <c r="AH177" s="64">
        <f t="shared" si="36"/>
        <v>0</v>
      </c>
      <c r="AI177" s="65">
        <f t="shared" si="36"/>
        <v>0</v>
      </c>
      <c r="AJ177" s="64" t="str">
        <f t="shared" si="37"/>
        <v/>
      </c>
      <c r="AK177" s="64" t="str">
        <f t="shared" si="29"/>
        <v/>
      </c>
      <c r="AL177" s="66"/>
      <c r="AM177" s="66"/>
    </row>
    <row r="178" spans="1:39" s="67" customFormat="1" ht="24" customHeight="1" x14ac:dyDescent="0.15">
      <c r="A178" s="273" t="s">
        <v>143</v>
      </c>
      <c r="B178" s="222"/>
      <c r="C178" s="136"/>
      <c r="D178" s="133"/>
      <c r="E178" s="230"/>
      <c r="F178" s="230"/>
      <c r="G178" s="224"/>
      <c r="H178" s="232"/>
      <c r="I178" s="233"/>
      <c r="J178" s="231"/>
      <c r="K178" s="231"/>
      <c r="L178" s="128"/>
      <c r="M178" s="128"/>
      <c r="N178" s="425"/>
      <c r="O178" s="425"/>
      <c r="P178" s="123"/>
      <c r="Q178" s="123"/>
      <c r="R178" s="123"/>
      <c r="S178" s="206"/>
      <c r="T178" s="64" t="s">
        <v>31</v>
      </c>
      <c r="U178" s="64">
        <f>COUNTIF(D174:D193,"도")</f>
        <v>0</v>
      </c>
      <c r="V178" s="65">
        <f>COUNTIF(I174:I193,"도")</f>
        <v>0</v>
      </c>
      <c r="W178" s="64" t="s">
        <v>26</v>
      </c>
      <c r="X178" s="64">
        <f>SUMIF(D174:D193,"도",F174:F193)</f>
        <v>0</v>
      </c>
      <c r="Y178" s="65">
        <f>SUMIF(I174:I193,"도",K174:K193)</f>
        <v>0</v>
      </c>
      <c r="Z178" s="64">
        <f>COUNTIF(AJ174:AJ193,"도국")+COUNTIF(AJ174:AJ193,"도공")</f>
        <v>0</v>
      </c>
      <c r="AA178" s="65">
        <f>COUNTIF(AK174:AK193,"도국")+COUNTIF(AK174:AK193,"도공")</f>
        <v>0</v>
      </c>
      <c r="AB178" s="64" t="s">
        <v>26</v>
      </c>
      <c r="AC178" s="64">
        <f>SUMIF(AJ174:AJ193,"도국",F174:F193)+SUMIF(AJ174:AJ193,"도공",F174:F193)</f>
        <v>0</v>
      </c>
      <c r="AD178" s="65">
        <f>SUMIF(AK174:AK193,"도국",K174:K193)+SUMIF(AK174:AK193,"도공",K174:K193)</f>
        <v>0</v>
      </c>
      <c r="AE178" s="64">
        <f t="shared" si="35"/>
        <v>0</v>
      </c>
      <c r="AF178" s="65">
        <f t="shared" si="35"/>
        <v>0</v>
      </c>
      <c r="AG178" s="64" t="s">
        <v>26</v>
      </c>
      <c r="AH178" s="64">
        <f t="shared" si="36"/>
        <v>0</v>
      </c>
      <c r="AI178" s="65">
        <f t="shared" si="36"/>
        <v>0</v>
      </c>
      <c r="AJ178" s="64" t="str">
        <f t="shared" si="37"/>
        <v/>
      </c>
      <c r="AK178" s="64" t="str">
        <f t="shared" si="29"/>
        <v/>
      </c>
      <c r="AL178" s="66"/>
      <c r="AM178" s="66"/>
    </row>
    <row r="179" spans="1:39" s="67" customFormat="1" ht="24" customHeight="1" x14ac:dyDescent="0.15">
      <c r="A179" s="273" t="s">
        <v>144</v>
      </c>
      <c r="B179" s="222"/>
      <c r="C179" s="136"/>
      <c r="D179" s="133"/>
      <c r="E179" s="230"/>
      <c r="F179" s="230"/>
      <c r="G179" s="224"/>
      <c r="H179" s="232"/>
      <c r="I179" s="233"/>
      <c r="J179" s="231"/>
      <c r="K179" s="231"/>
      <c r="L179" s="128"/>
      <c r="M179" s="128"/>
      <c r="N179" s="425"/>
      <c r="O179" s="425"/>
      <c r="P179" s="123"/>
      <c r="Q179" s="123"/>
      <c r="R179" s="123"/>
      <c r="S179" s="206"/>
      <c r="T179" s="64" t="s">
        <v>32</v>
      </c>
      <c r="U179" s="68">
        <f>COUNTIF(D174:D193,"천")</f>
        <v>0</v>
      </c>
      <c r="V179" s="69">
        <f>COUNTIF(I174:I193,"천")</f>
        <v>0</v>
      </c>
      <c r="W179" s="64" t="s">
        <v>26</v>
      </c>
      <c r="X179" s="64">
        <f>SUMIF(D174:D193,"천",F174:F193)</f>
        <v>0</v>
      </c>
      <c r="Y179" s="65">
        <f>SUMIF(I174:I193,"천",K174:K193)</f>
        <v>0</v>
      </c>
      <c r="Z179" s="64">
        <f>COUNTIF(AJ174:AJ193,"천국")+COUNTIF(AJ174:AJ193,"천공")</f>
        <v>0</v>
      </c>
      <c r="AA179" s="65">
        <f>COUNTIF(AK174:AK193,"천국")+COUNTIF(AK174:AK193,"천공")</f>
        <v>0</v>
      </c>
      <c r="AB179" s="64" t="s">
        <v>26</v>
      </c>
      <c r="AC179" s="64">
        <f>SUMIF(AJ174:AJ193,"천국",F174:F193)+SUMIF(AJ174:AJ193,"천공",F174:F193)</f>
        <v>0</v>
      </c>
      <c r="AD179" s="65">
        <f>SUMIF(AK174:AK193,"천국",K174:K193)+SUMIF(AK174:AK193,"천공",K174:K193)</f>
        <v>0</v>
      </c>
      <c r="AE179" s="64">
        <f t="shared" si="35"/>
        <v>0</v>
      </c>
      <c r="AF179" s="65">
        <f t="shared" si="35"/>
        <v>0</v>
      </c>
      <c r="AG179" s="64" t="s">
        <v>26</v>
      </c>
      <c r="AH179" s="64">
        <f t="shared" si="36"/>
        <v>0</v>
      </c>
      <c r="AI179" s="65">
        <f t="shared" si="36"/>
        <v>0</v>
      </c>
      <c r="AJ179" s="64" t="str">
        <f t="shared" si="37"/>
        <v/>
      </c>
      <c r="AK179" s="64" t="str">
        <f t="shared" si="29"/>
        <v/>
      </c>
      <c r="AL179" s="66"/>
      <c r="AM179" s="66"/>
    </row>
    <row r="180" spans="1:39" s="67" customFormat="1" ht="24" customHeight="1" x14ac:dyDescent="0.15">
      <c r="A180" s="273" t="s">
        <v>145</v>
      </c>
      <c r="B180" s="222"/>
      <c r="C180" s="136"/>
      <c r="D180" s="133"/>
      <c r="E180" s="230"/>
      <c r="F180" s="230"/>
      <c r="G180" s="224"/>
      <c r="H180" s="232"/>
      <c r="I180" s="233"/>
      <c r="J180" s="231"/>
      <c r="K180" s="231"/>
      <c r="L180" s="137"/>
      <c r="M180" s="137"/>
      <c r="N180" s="425"/>
      <c r="O180" s="425"/>
      <c r="P180" s="123"/>
      <c r="Q180" s="123"/>
      <c r="R180" s="123"/>
      <c r="S180" s="206"/>
      <c r="T180" s="64" t="s">
        <v>33</v>
      </c>
      <c r="U180" s="64">
        <f>COUNTIF(D174:D193,"구")</f>
        <v>0</v>
      </c>
      <c r="V180" s="65">
        <f>COUNTIF(I174:I193,"구")</f>
        <v>0</v>
      </c>
      <c r="W180" s="64" t="s">
        <v>26</v>
      </c>
      <c r="X180" s="64">
        <f>SUMIF(D174:D193,"구",F174:F193)</f>
        <v>0</v>
      </c>
      <c r="Y180" s="65">
        <f>SUMIF(I174:I193,"구",K174:K193)</f>
        <v>0</v>
      </c>
      <c r="Z180" s="64">
        <f>COUNTIF(AJ174:AJ193,"구국")+COUNTIF(AJ174:AJ193,"구공")</f>
        <v>0</v>
      </c>
      <c r="AA180" s="65">
        <f>COUNTIF(AK174:AK193,"구국")+COUNTIF(AK174:AK193,"구공")</f>
        <v>0</v>
      </c>
      <c r="AB180" s="64" t="s">
        <v>26</v>
      </c>
      <c r="AC180" s="64">
        <f>SUMIF(AJ174:AJ193,"구국",F174:F193)+SUMIF(AJ174:AJ193,"구공",F174:F193)</f>
        <v>0</v>
      </c>
      <c r="AD180" s="65">
        <f>SUMIF(AK174:AK193,"구국",K174:K193)+SUMIF(AK174:AK193,"구공",K174:K193)</f>
        <v>0</v>
      </c>
      <c r="AE180" s="64">
        <f t="shared" si="35"/>
        <v>0</v>
      </c>
      <c r="AF180" s="65">
        <f t="shared" si="35"/>
        <v>0</v>
      </c>
      <c r="AG180" s="64" t="s">
        <v>26</v>
      </c>
      <c r="AH180" s="64">
        <f t="shared" si="36"/>
        <v>0</v>
      </c>
      <c r="AI180" s="65">
        <f t="shared" si="36"/>
        <v>0</v>
      </c>
      <c r="AJ180" s="64" t="str">
        <f t="shared" si="37"/>
        <v/>
      </c>
      <c r="AK180" s="64" t="str">
        <f t="shared" si="29"/>
        <v/>
      </c>
      <c r="AL180" s="66"/>
      <c r="AM180" s="66"/>
    </row>
    <row r="181" spans="1:39" s="67" customFormat="1" ht="24" customHeight="1" x14ac:dyDescent="0.15">
      <c r="A181" s="273" t="s">
        <v>146</v>
      </c>
      <c r="B181" s="222"/>
      <c r="C181" s="229"/>
      <c r="D181" s="136"/>
      <c r="E181" s="265"/>
      <c r="F181" s="230"/>
      <c r="G181" s="224"/>
      <c r="H181" s="228"/>
      <c r="I181" s="232"/>
      <c r="J181" s="269"/>
      <c r="K181" s="231"/>
      <c r="L181" s="128"/>
      <c r="M181" s="128"/>
      <c r="N181" s="425"/>
      <c r="O181" s="425"/>
      <c r="P181" s="123"/>
      <c r="Q181" s="123"/>
      <c r="R181" s="123"/>
      <c r="S181" s="206"/>
      <c r="T181" s="64" t="s">
        <v>34</v>
      </c>
      <c r="U181" s="64">
        <f>COUNTIF(D174:D193,"제")</f>
        <v>0</v>
      </c>
      <c r="V181" s="65">
        <f>COUNTIF(I174:I193,"제")</f>
        <v>0</v>
      </c>
      <c r="W181" s="64" t="s">
        <v>26</v>
      </c>
      <c r="X181" s="64">
        <f>SUMIF(D174:D193,"제",F174:F193)</f>
        <v>0</v>
      </c>
      <c r="Y181" s="65">
        <f>SUMIF(I174:I193,"제",K174:K193)</f>
        <v>0</v>
      </c>
      <c r="Z181" s="64">
        <f>COUNTIF(AJ174:AJ193,"제국")+COUNTIF(AJ174:AJ193,"제공")</f>
        <v>0</v>
      </c>
      <c r="AA181" s="65">
        <f>COUNTIF(AK174:AK193,"제국")+COUNTIF(AK174:AK193,"제공")</f>
        <v>0</v>
      </c>
      <c r="AB181" s="64" t="s">
        <v>26</v>
      </c>
      <c r="AC181" s="64">
        <f>SUMIF(AJ174:AJ193,"제국",F174:F193)+SUMIF(AJ174:AJ193,"제공",F174:F193)</f>
        <v>0</v>
      </c>
      <c r="AD181" s="65">
        <f>SUMIF(AK174:AK193,"제국",K174:K193)+SUMIF(AK174:AK193,"제공",K174:K193)</f>
        <v>0</v>
      </c>
      <c r="AE181" s="64">
        <f t="shared" si="35"/>
        <v>0</v>
      </c>
      <c r="AF181" s="65">
        <f t="shared" si="35"/>
        <v>0</v>
      </c>
      <c r="AG181" s="64" t="s">
        <v>26</v>
      </c>
      <c r="AH181" s="64">
        <f t="shared" si="36"/>
        <v>0</v>
      </c>
      <c r="AI181" s="65">
        <f t="shared" si="36"/>
        <v>0</v>
      </c>
      <c r="AJ181" s="64" t="str">
        <f t="shared" si="37"/>
        <v/>
      </c>
      <c r="AK181" s="64" t="str">
        <f t="shared" si="29"/>
        <v/>
      </c>
      <c r="AL181" s="66"/>
      <c r="AM181" s="66"/>
    </row>
    <row r="182" spans="1:39" s="67" customFormat="1" ht="24" customHeight="1" x14ac:dyDescent="0.15">
      <c r="A182" s="273" t="s">
        <v>147</v>
      </c>
      <c r="B182" s="222"/>
      <c r="C182" s="136"/>
      <c r="D182" s="133"/>
      <c r="E182" s="230"/>
      <c r="F182" s="230"/>
      <c r="G182" s="224"/>
      <c r="H182" s="232"/>
      <c r="I182" s="233"/>
      <c r="J182" s="231"/>
      <c r="K182" s="231"/>
      <c r="L182" s="137"/>
      <c r="M182" s="137"/>
      <c r="N182" s="425"/>
      <c r="O182" s="425"/>
      <c r="P182" s="123"/>
      <c r="Q182" s="123"/>
      <c r="R182" s="123"/>
      <c r="S182" s="206"/>
      <c r="T182" s="64" t="s">
        <v>46</v>
      </c>
      <c r="U182" s="64">
        <f>COUNTIF(D174:D193,"유")</f>
        <v>0</v>
      </c>
      <c r="V182" s="65">
        <f>COUNTIF(I174:I193,"유")</f>
        <v>0</v>
      </c>
      <c r="W182" s="64" t="s">
        <v>26</v>
      </c>
      <c r="X182" s="64">
        <f>SUMIF(D174:D193,"유",F174:F193)</f>
        <v>0</v>
      </c>
      <c r="Y182" s="65">
        <f>SUMIF(I174:I193,"유",K174:K193)</f>
        <v>0</v>
      </c>
      <c r="Z182" s="64">
        <f>COUNTIF(AJ174:AJ193,"유국")+COUNTIF(AJ174:AJ193,"유공")</f>
        <v>0</v>
      </c>
      <c r="AA182" s="65">
        <f>COUNTIF(AK174:AK193,"유국")+COUNTIF(AK174:AK193,"유공")</f>
        <v>0</v>
      </c>
      <c r="AB182" s="64" t="s">
        <v>26</v>
      </c>
      <c r="AC182" s="64">
        <f>SUMIF(AJ174:AJ193,"유국",F174:F193)+SUMIF(AJ174:AJ193,"유공",F174:F193)</f>
        <v>0</v>
      </c>
      <c r="AD182" s="65">
        <f>SUMIF(AK174:AK193,"유국",K174:K193)+SUMIF(AK174:AK193,"유공",K174:K193)</f>
        <v>0</v>
      </c>
      <c r="AE182" s="64">
        <f t="shared" si="35"/>
        <v>0</v>
      </c>
      <c r="AF182" s="65">
        <f t="shared" si="35"/>
        <v>0</v>
      </c>
      <c r="AG182" s="64" t="s">
        <v>26</v>
      </c>
      <c r="AH182" s="64">
        <f t="shared" si="36"/>
        <v>0</v>
      </c>
      <c r="AI182" s="65">
        <f t="shared" si="36"/>
        <v>0</v>
      </c>
      <c r="AJ182" s="64" t="str">
        <f t="shared" si="37"/>
        <v/>
      </c>
      <c r="AK182" s="64" t="str">
        <f t="shared" si="29"/>
        <v/>
      </c>
      <c r="AL182" s="66"/>
      <c r="AM182" s="66"/>
    </row>
    <row r="183" spans="1:39" s="67" customFormat="1" ht="24" customHeight="1" x14ac:dyDescent="0.15">
      <c r="A183" s="273" t="s">
        <v>148</v>
      </c>
      <c r="B183" s="222"/>
      <c r="C183" s="136"/>
      <c r="D183" s="133"/>
      <c r="E183" s="230"/>
      <c r="F183" s="230"/>
      <c r="G183" s="224"/>
      <c r="H183" s="232"/>
      <c r="I183" s="233"/>
      <c r="J183" s="231"/>
      <c r="K183" s="231"/>
      <c r="L183" s="128"/>
      <c r="M183" s="128"/>
      <c r="N183" s="425"/>
      <c r="O183" s="425"/>
      <c r="P183" s="123"/>
      <c r="Q183" s="123"/>
      <c r="R183" s="123"/>
      <c r="S183" s="206"/>
      <c r="T183" s="64" t="s">
        <v>47</v>
      </c>
      <c r="U183" s="64">
        <f>COUNTIF(D174:D193,"과")</f>
        <v>0</v>
      </c>
      <c r="V183" s="65">
        <f>COUNTIF(I174:I193,"과")</f>
        <v>0</v>
      </c>
      <c r="W183" s="64" t="s">
        <v>26</v>
      </c>
      <c r="X183" s="64">
        <f>SUMIF(D174:D193,"과",F174:F193)</f>
        <v>0</v>
      </c>
      <c r="Y183" s="65">
        <f>SUMIF(I174:I193,"과",K174:K193)</f>
        <v>0</v>
      </c>
      <c r="Z183" s="64">
        <f>COUNTIF(AJ174:AJ193,"과국")+COUNTIF(AJ174:AJ193,"과공")</f>
        <v>0</v>
      </c>
      <c r="AA183" s="65">
        <f>COUNTIF(AK174:AK193,"과국")+COUNTIF(AK174:AK193,"과공")</f>
        <v>0</v>
      </c>
      <c r="AB183" s="64" t="s">
        <v>26</v>
      </c>
      <c r="AC183" s="64">
        <f>SUMIF(AJ174:AJ193,"과국",F174:F193)+SUMIF(AJ174:AJ193,"과공",F174:F193)</f>
        <v>0</v>
      </c>
      <c r="AD183" s="65">
        <f>SUMIF(AK174:AK193,"과국",K174:K193)+SUMIF(AK174:AK193,"과공",K174:K193)</f>
        <v>0</v>
      </c>
      <c r="AE183" s="64">
        <f t="shared" si="35"/>
        <v>0</v>
      </c>
      <c r="AF183" s="65">
        <f t="shared" si="35"/>
        <v>0</v>
      </c>
      <c r="AG183" s="64" t="s">
        <v>26</v>
      </c>
      <c r="AH183" s="64">
        <f t="shared" si="36"/>
        <v>0</v>
      </c>
      <c r="AI183" s="65">
        <f t="shared" si="36"/>
        <v>0</v>
      </c>
      <c r="AJ183" s="64" t="str">
        <f t="shared" si="37"/>
        <v/>
      </c>
      <c r="AK183" s="64" t="str">
        <f t="shared" si="29"/>
        <v/>
      </c>
      <c r="AL183" s="66"/>
      <c r="AM183" s="66"/>
    </row>
    <row r="184" spans="1:39" s="67" customFormat="1" ht="24" customHeight="1" x14ac:dyDescent="0.15">
      <c r="A184" s="273" t="s">
        <v>149</v>
      </c>
      <c r="B184" s="222"/>
      <c r="C184" s="229"/>
      <c r="D184" s="136"/>
      <c r="E184" s="265"/>
      <c r="F184" s="230"/>
      <c r="G184" s="224"/>
      <c r="H184" s="228"/>
      <c r="I184" s="232"/>
      <c r="J184" s="269"/>
      <c r="K184" s="231"/>
      <c r="L184" s="128"/>
      <c r="M184" s="128"/>
      <c r="N184" s="425"/>
      <c r="O184" s="425"/>
      <c r="P184" s="123"/>
      <c r="Q184" s="123"/>
      <c r="R184" s="123"/>
      <c r="S184" s="206"/>
      <c r="T184" s="64" t="s">
        <v>36</v>
      </c>
      <c r="U184" s="64">
        <f>COUNTIF(D174:D193,"묘")</f>
        <v>0</v>
      </c>
      <c r="V184" s="65">
        <f>COUNTIF(I174:I193,"묘")</f>
        <v>0</v>
      </c>
      <c r="W184" s="64" t="s">
        <v>26</v>
      </c>
      <c r="X184" s="64">
        <f>SUMIF(D174:D193,"묘",F174:F193)</f>
        <v>0</v>
      </c>
      <c r="Y184" s="65">
        <f>SUMIF(I174:I193,"묘",K174:K193)</f>
        <v>0</v>
      </c>
      <c r="Z184" s="64">
        <f>COUNTIF(AJ174:AJ193,"묘국")+COUNTIF(AJ174:AJ193,"묘공")</f>
        <v>0</v>
      </c>
      <c r="AA184" s="65">
        <f>COUNTIF(AK174:AK193,"묘국")+COUNTIF(AK174:AK193,"묘공")</f>
        <v>0</v>
      </c>
      <c r="AB184" s="64" t="s">
        <v>26</v>
      </c>
      <c r="AC184" s="64">
        <f>SUMIF(AJ174:AJ193,"묘국",F174:F193)+SUMIF(AJ174:AJ193,"묘공",F174:F193)</f>
        <v>0</v>
      </c>
      <c r="AD184" s="65">
        <f>SUMIF(AK174:AK193,"묘국",K174:K193)+SUMIF(AK174:AK193,"묘공",K174:K193)</f>
        <v>0</v>
      </c>
      <c r="AE184" s="64">
        <f t="shared" si="35"/>
        <v>0</v>
      </c>
      <c r="AF184" s="65">
        <f t="shared" si="35"/>
        <v>0</v>
      </c>
      <c r="AG184" s="64" t="s">
        <v>26</v>
      </c>
      <c r="AH184" s="64">
        <f t="shared" si="36"/>
        <v>0</v>
      </c>
      <c r="AI184" s="65">
        <f t="shared" si="36"/>
        <v>0</v>
      </c>
      <c r="AJ184" s="64" t="str">
        <f t="shared" si="37"/>
        <v/>
      </c>
      <c r="AK184" s="64" t="str">
        <f t="shared" si="29"/>
        <v/>
      </c>
      <c r="AL184" s="66"/>
      <c r="AM184" s="66"/>
    </row>
    <row r="185" spans="1:39" s="67" customFormat="1" ht="24" customHeight="1" x14ac:dyDescent="0.15">
      <c r="A185" s="273" t="s">
        <v>150</v>
      </c>
      <c r="B185" s="222"/>
      <c r="C185" s="229"/>
      <c r="D185" s="136"/>
      <c r="E185" s="265"/>
      <c r="F185" s="230"/>
      <c r="G185" s="224"/>
      <c r="H185" s="228"/>
      <c r="I185" s="232"/>
      <c r="J185" s="269"/>
      <c r="K185" s="231"/>
      <c r="L185" s="123"/>
      <c r="M185" s="298"/>
      <c r="N185" s="430"/>
      <c r="O185" s="450"/>
      <c r="P185" s="123"/>
      <c r="Q185" s="123"/>
      <c r="R185" s="123"/>
      <c r="S185" s="206"/>
      <c r="T185" s="64" t="s">
        <v>39</v>
      </c>
      <c r="U185" s="64">
        <f>COUNTIF(D174:D193,"수")</f>
        <v>0</v>
      </c>
      <c r="V185" s="65">
        <f>COUNTIF(I174:I193,"수")</f>
        <v>0</v>
      </c>
      <c r="W185" s="64" t="s">
        <v>26</v>
      </c>
      <c r="X185" s="64">
        <f>SUMIF(D174:D193,"수",F174:F193)</f>
        <v>0</v>
      </c>
      <c r="Y185" s="65">
        <f>SUMIF(I174:I193,"수",K174:K193)</f>
        <v>0</v>
      </c>
      <c r="Z185" s="64">
        <f>COUNTIF(AJ174:AJ193,"수국")+COUNTIF(AJ174:AJ193,"수공")</f>
        <v>0</v>
      </c>
      <c r="AA185" s="65">
        <f>COUNTIF(AK174:AK193,"수국")+COUNTIF(AK174:AK193,"수공")</f>
        <v>0</v>
      </c>
      <c r="AB185" s="64" t="s">
        <v>26</v>
      </c>
      <c r="AC185" s="64">
        <f>SUMIF(AJ174:AJ193,"수국",F174:F193)+SUMIF(AJ174:AJ193,"수공",F174:F193)</f>
        <v>0</v>
      </c>
      <c r="AD185" s="65">
        <f>SUMIF(AK174:AK193,"수국",K174:K193)+SUMIF(AK174:AK193,"수공",K174:K193)</f>
        <v>0</v>
      </c>
      <c r="AE185" s="64">
        <f t="shared" si="35"/>
        <v>0</v>
      </c>
      <c r="AF185" s="65">
        <f t="shared" si="35"/>
        <v>0</v>
      </c>
      <c r="AG185" s="64" t="s">
        <v>26</v>
      </c>
      <c r="AH185" s="64">
        <f t="shared" si="36"/>
        <v>0</v>
      </c>
      <c r="AI185" s="65">
        <f t="shared" si="36"/>
        <v>0</v>
      </c>
      <c r="AJ185" s="64" t="str">
        <f t="shared" si="37"/>
        <v/>
      </c>
      <c r="AK185" s="64" t="str">
        <f t="shared" si="29"/>
        <v/>
      </c>
      <c r="AL185" s="66"/>
      <c r="AM185" s="66"/>
    </row>
    <row r="186" spans="1:39" s="67" customFormat="1" ht="24" customHeight="1" x14ac:dyDescent="0.15">
      <c r="A186" s="273" t="s">
        <v>151</v>
      </c>
      <c r="B186" s="222"/>
      <c r="C186" s="229"/>
      <c r="D186" s="136"/>
      <c r="E186" s="265"/>
      <c r="F186" s="230"/>
      <c r="G186" s="224"/>
      <c r="H186" s="228"/>
      <c r="I186" s="232"/>
      <c r="J186" s="269"/>
      <c r="K186" s="231"/>
      <c r="L186" s="470"/>
      <c r="M186" s="481"/>
      <c r="N186" s="430"/>
      <c r="O186" s="450"/>
      <c r="P186" s="155"/>
      <c r="Q186" s="155"/>
      <c r="R186" s="155"/>
      <c r="S186" s="206"/>
      <c r="T186" s="64" t="s">
        <v>35</v>
      </c>
      <c r="U186" s="64">
        <f>COUNTIF(D174:D193,"잡")</f>
        <v>0</v>
      </c>
      <c r="V186" s="65">
        <f>COUNTIF(I174:I193,"잡")</f>
        <v>0</v>
      </c>
      <c r="W186" s="64" t="s">
        <v>26</v>
      </c>
      <c r="X186" s="64">
        <f>SUMIF(D174:D193,"잡",F174:F193)</f>
        <v>0</v>
      </c>
      <c r="Y186" s="65">
        <f>SUMIF(I174:I193,"잡",K174:K193)</f>
        <v>0</v>
      </c>
      <c r="Z186" s="64">
        <f>COUNTIF(AJ174:AJ193,"잡국")+COUNTIF(AJ174:AJ193,"잡공")</f>
        <v>0</v>
      </c>
      <c r="AA186" s="65">
        <f>COUNTIF(AK174:AK193,"잡국")+COUNTIF(AK174:AK193,"잡공")</f>
        <v>0</v>
      </c>
      <c r="AB186" s="64" t="s">
        <v>26</v>
      </c>
      <c r="AC186" s="64">
        <f>SUMIF(AJ174:AJ193,"잡국",F174:F193)+SUMIF(AJ174:AJ193,"잡공",F174:F193)</f>
        <v>0</v>
      </c>
      <c r="AD186" s="65">
        <f>SUMIF(AK174:AK193,"잡국",K174:K193)+SUMIF(AK174:AK193,"잡공",K174:K193)</f>
        <v>0</v>
      </c>
      <c r="AE186" s="64">
        <f t="shared" si="35"/>
        <v>0</v>
      </c>
      <c r="AF186" s="65">
        <f t="shared" si="35"/>
        <v>0</v>
      </c>
      <c r="AG186" s="64" t="s">
        <v>26</v>
      </c>
      <c r="AH186" s="64">
        <f t="shared" si="36"/>
        <v>0</v>
      </c>
      <c r="AI186" s="65">
        <f t="shared" si="36"/>
        <v>0</v>
      </c>
      <c r="AJ186" s="64" t="str">
        <f t="shared" si="37"/>
        <v/>
      </c>
      <c r="AK186" s="64" t="str">
        <f t="shared" si="29"/>
        <v/>
      </c>
      <c r="AL186" s="66"/>
      <c r="AM186" s="66"/>
    </row>
    <row r="187" spans="1:39" s="67" customFormat="1" ht="24" customHeight="1" x14ac:dyDescent="0.15">
      <c r="A187" s="273" t="s">
        <v>152</v>
      </c>
      <c r="B187" s="222"/>
      <c r="C187" s="229"/>
      <c r="D187" s="136"/>
      <c r="E187" s="265"/>
      <c r="F187" s="230"/>
      <c r="G187" s="224"/>
      <c r="H187" s="228"/>
      <c r="I187" s="232"/>
      <c r="J187" s="269"/>
      <c r="K187" s="231"/>
      <c r="L187" s="123"/>
      <c r="M187" s="298"/>
      <c r="N187" s="430"/>
      <c r="O187" s="450"/>
      <c r="P187" s="155"/>
      <c r="Q187" s="155"/>
      <c r="R187" s="155"/>
      <c r="S187" s="206"/>
      <c r="T187" s="64" t="s">
        <v>195</v>
      </c>
      <c r="U187" s="64">
        <f>COUNTIF(D174:D193,"창")</f>
        <v>0</v>
      </c>
      <c r="V187" s="65">
        <f>COUNTIF(I174:I193,"창")</f>
        <v>0</v>
      </c>
      <c r="W187" s="64" t="s">
        <v>26</v>
      </c>
      <c r="X187" s="64">
        <f>SUMIF(D174:D193,"창",F174:F193)</f>
        <v>0</v>
      </c>
      <c r="Y187" s="65">
        <f>SUMIF(I174:I193,"창",K174:K193)</f>
        <v>0</v>
      </c>
      <c r="Z187" s="64">
        <f>COUNTIF(AJ174:AJ193,"창국")+COUNTIF(AJ174:AJ193,"창공")</f>
        <v>0</v>
      </c>
      <c r="AA187" s="65">
        <f>COUNTIF(AK174:AK193,"창국")+COUNTIF(AK174:AK193,"창공")</f>
        <v>0</v>
      </c>
      <c r="AB187" s="64" t="s">
        <v>26</v>
      </c>
      <c r="AC187" s="64">
        <f>SUMIF(AJ174:AJ193,"창국",F174:F193)+SUMIF(AJ174:AJ193,"창공",F174:F193)</f>
        <v>0</v>
      </c>
      <c r="AD187" s="65">
        <f>SUMIF(AK174:AK193,"창국",K174:K193)+SUMIF(AK174:AK193,"창공",K174:K193)</f>
        <v>0</v>
      </c>
      <c r="AE187" s="64">
        <f t="shared" si="35"/>
        <v>0</v>
      </c>
      <c r="AF187" s="65">
        <f t="shared" si="35"/>
        <v>0</v>
      </c>
      <c r="AG187" s="64" t="s">
        <v>26</v>
      </c>
      <c r="AH187" s="64">
        <f t="shared" si="36"/>
        <v>0</v>
      </c>
      <c r="AI187" s="65">
        <f t="shared" si="36"/>
        <v>0</v>
      </c>
      <c r="AJ187" s="64" t="str">
        <f t="shared" si="37"/>
        <v/>
      </c>
      <c r="AK187" s="64" t="str">
        <f t="shared" si="29"/>
        <v/>
      </c>
      <c r="AL187" s="66"/>
      <c r="AM187" s="66"/>
    </row>
    <row r="188" spans="1:39" s="67" customFormat="1" ht="24" customHeight="1" x14ac:dyDescent="0.15">
      <c r="A188" s="273" t="s">
        <v>153</v>
      </c>
      <c r="B188" s="222"/>
      <c r="C188" s="229"/>
      <c r="D188" s="136"/>
      <c r="E188" s="265"/>
      <c r="F188" s="230"/>
      <c r="G188" s="224"/>
      <c r="H188" s="228"/>
      <c r="I188" s="232"/>
      <c r="J188" s="269"/>
      <c r="K188" s="231"/>
      <c r="L188" s="123"/>
      <c r="M188" s="298"/>
      <c r="N188" s="430"/>
      <c r="O188" s="450"/>
      <c r="P188" s="123"/>
      <c r="Q188" s="123"/>
      <c r="R188" s="123"/>
      <c r="S188" s="206"/>
      <c r="T188" s="64" t="s">
        <v>194</v>
      </c>
      <c r="U188" s="64">
        <f>COUNTIF(D174:D193,"장")</f>
        <v>0</v>
      </c>
      <c r="V188" s="65">
        <f>COUNTIF(I174:I193,"장")</f>
        <v>0</v>
      </c>
      <c r="W188" s="64" t="s">
        <v>26</v>
      </c>
      <c r="X188" s="64">
        <f>SUMIF(D174:D193,"장",F174:F193)</f>
        <v>0</v>
      </c>
      <c r="Y188" s="65">
        <f>SUMIF(I174:I193,"장",K174:K193)</f>
        <v>0</v>
      </c>
      <c r="Z188" s="64">
        <f>COUNTIF(AJ174:AJ193,"장국")+COUNTIF(AJ174:AJ193,"장장")</f>
        <v>0</v>
      </c>
      <c r="AA188" s="65">
        <f>COUNTIF(AK174:AK193,"장국")+COUNTIF(AK174:AK193,"장장")</f>
        <v>0</v>
      </c>
      <c r="AB188" s="64" t="s">
        <v>26</v>
      </c>
      <c r="AC188" s="64">
        <f>SUMIF(AJ174:AJ193,"장국",F174:F193)+SUMIF(AJ174:AJ193,"장장",F174:F193)</f>
        <v>0</v>
      </c>
      <c r="AD188" s="65">
        <f>SUMIF(AK174:AK193,"장국",K174:K193)+SUMIF(AK174:AK193,"장장",K174:K193)</f>
        <v>0</v>
      </c>
      <c r="AE188" s="64">
        <f t="shared" si="35"/>
        <v>0</v>
      </c>
      <c r="AF188" s="65">
        <f t="shared" si="35"/>
        <v>0</v>
      </c>
      <c r="AG188" s="64" t="s">
        <v>26</v>
      </c>
      <c r="AH188" s="64">
        <f t="shared" si="36"/>
        <v>0</v>
      </c>
      <c r="AI188" s="65">
        <f t="shared" si="36"/>
        <v>0</v>
      </c>
      <c r="AJ188" s="64" t="str">
        <f t="shared" si="37"/>
        <v/>
      </c>
      <c r="AK188" s="64" t="str">
        <f t="shared" si="29"/>
        <v/>
      </c>
      <c r="AL188" s="66"/>
      <c r="AM188" s="66"/>
    </row>
    <row r="189" spans="1:39" s="67" customFormat="1" ht="24" customHeight="1" x14ac:dyDescent="0.15">
      <c r="A189" s="299">
        <v>176</v>
      </c>
      <c r="B189" s="222"/>
      <c r="C189" s="229"/>
      <c r="D189" s="136"/>
      <c r="E189" s="265"/>
      <c r="F189" s="230"/>
      <c r="G189" s="224"/>
      <c r="H189" s="228"/>
      <c r="I189" s="232"/>
      <c r="J189" s="269"/>
      <c r="K189" s="231"/>
      <c r="L189" s="470"/>
      <c r="M189" s="481"/>
      <c r="N189" s="430"/>
      <c r="O189" s="450"/>
      <c r="P189" s="132"/>
      <c r="Q189" s="132"/>
      <c r="R189" s="132"/>
      <c r="S189" s="206"/>
      <c r="T189" s="70" t="s">
        <v>193</v>
      </c>
      <c r="U189" s="64">
        <f>COUNTIF(D174:D193,"학")</f>
        <v>0</v>
      </c>
      <c r="V189" s="65">
        <f>COUNTIF(I174:I193,"학")</f>
        <v>0</v>
      </c>
      <c r="W189" s="64" t="s">
        <v>26</v>
      </c>
      <c r="X189" s="64">
        <f>SUMIF(D174:D193,"학",F174:F193)</f>
        <v>0</v>
      </c>
      <c r="Y189" s="65">
        <f>SUMIF(I174:I193,"학",K174:K193)</f>
        <v>0</v>
      </c>
      <c r="Z189" s="64">
        <f>COUNTIF(AJ174:AJ193,"학국")+COUNTIF(AJ174:AJ193,"학공")</f>
        <v>0</v>
      </c>
      <c r="AA189" s="65">
        <f>COUNTIF(AK174:AK193,"학국")+COUNTIF(AK174:AK193,"학공")</f>
        <v>0</v>
      </c>
      <c r="AB189" s="64" t="s">
        <v>26</v>
      </c>
      <c r="AC189" s="64">
        <f>SUMIF(AJ174:AJ193,"학국",F174:F193)+SUMIF(AJ174:AJ193,"학공",F174:F193)</f>
        <v>0</v>
      </c>
      <c r="AD189" s="65">
        <f>SUMIF(AK174:AK193,"학국",K174:K193)+SUMIF(AK174:AK193,"학공",K174:K193)</f>
        <v>0</v>
      </c>
      <c r="AE189" s="64">
        <f t="shared" si="35"/>
        <v>0</v>
      </c>
      <c r="AF189" s="65">
        <f t="shared" si="35"/>
        <v>0</v>
      </c>
      <c r="AG189" s="64" t="s">
        <v>26</v>
      </c>
      <c r="AH189" s="64">
        <f t="shared" si="36"/>
        <v>0</v>
      </c>
      <c r="AI189" s="65">
        <f t="shared" si="36"/>
        <v>0</v>
      </c>
      <c r="AJ189" s="64" t="str">
        <f t="shared" si="37"/>
        <v/>
      </c>
      <c r="AK189" s="64" t="str">
        <f t="shared" si="29"/>
        <v/>
      </c>
      <c r="AL189" s="66"/>
      <c r="AM189" s="66"/>
    </row>
    <row r="190" spans="1:39" s="67" customFormat="1" ht="24" customHeight="1" x14ac:dyDescent="0.15">
      <c r="A190" s="299">
        <v>177</v>
      </c>
      <c r="B190" s="222"/>
      <c r="C190" s="229"/>
      <c r="D190" s="136"/>
      <c r="E190" s="265"/>
      <c r="F190" s="230"/>
      <c r="G190" s="224"/>
      <c r="H190" s="228"/>
      <c r="I190" s="232"/>
      <c r="J190" s="269"/>
      <c r="K190" s="231"/>
      <c r="L190" s="123"/>
      <c r="M190" s="298"/>
      <c r="N190" s="430"/>
      <c r="O190" s="450"/>
      <c r="P190" s="102"/>
      <c r="Q190" s="132"/>
      <c r="R190" s="102"/>
      <c r="S190" s="264"/>
      <c r="T190" s="70" t="s">
        <v>79</v>
      </c>
      <c r="U190" s="64">
        <f>COUNTIF(D174:D193,"목")</f>
        <v>0</v>
      </c>
      <c r="V190" s="65">
        <f>COUNTIF(I174:I193,"목")</f>
        <v>0</v>
      </c>
      <c r="W190" s="64" t="s">
        <v>26</v>
      </c>
      <c r="X190" s="64">
        <f>SUMIF(D174:D193,"목",F174:F193)</f>
        <v>0</v>
      </c>
      <c r="Y190" s="65">
        <f>SUMIF(I174:I193,"목",K174:K193)</f>
        <v>0</v>
      </c>
      <c r="Z190" s="64">
        <f>COUNTIF(AJ174:AJ193,"목국")+COUNTIF(AJ174:AJ193,"목공")</f>
        <v>0</v>
      </c>
      <c r="AA190" s="65">
        <f>COUNTIF(AK174:AK193,"목국")+COUNTIF(AK174:AK193,"목공")</f>
        <v>0</v>
      </c>
      <c r="AB190" s="64" t="s">
        <v>26</v>
      </c>
      <c r="AC190" s="64">
        <f>SUMIF(AJ174:AJ193,"목국",F174:F193)+SUMIF(AJ174:AJ193,"목공",F174:F193)</f>
        <v>0</v>
      </c>
      <c r="AD190" s="65">
        <f>SUMIF(AK174:AK193,"목국",K174:K193)+SUMIF(AK174:AK193,"목공",K174:K193)</f>
        <v>0</v>
      </c>
      <c r="AE190" s="64">
        <f t="shared" si="35"/>
        <v>0</v>
      </c>
      <c r="AF190" s="65">
        <f t="shared" si="35"/>
        <v>0</v>
      </c>
      <c r="AG190" s="64" t="s">
        <v>26</v>
      </c>
      <c r="AH190" s="64">
        <f t="shared" si="36"/>
        <v>0</v>
      </c>
      <c r="AI190" s="65">
        <f t="shared" si="36"/>
        <v>0</v>
      </c>
      <c r="AJ190" s="64" t="str">
        <f t="shared" si="37"/>
        <v/>
      </c>
      <c r="AK190" s="64" t="str">
        <f t="shared" si="29"/>
        <v/>
      </c>
      <c r="AL190" s="66"/>
      <c r="AM190" s="66"/>
    </row>
    <row r="191" spans="1:39" s="67" customFormat="1" ht="24" customHeight="1" x14ac:dyDescent="0.15">
      <c r="A191" s="299">
        <v>178</v>
      </c>
      <c r="B191" s="222"/>
      <c r="C191" s="136"/>
      <c r="D191" s="133"/>
      <c r="E191" s="230"/>
      <c r="F191" s="230"/>
      <c r="G191" s="224"/>
      <c r="H191" s="232"/>
      <c r="I191" s="233"/>
      <c r="J191" s="231"/>
      <c r="K191" s="231"/>
      <c r="L191" s="128"/>
      <c r="M191" s="128"/>
      <c r="N191" s="425"/>
      <c r="O191" s="425"/>
      <c r="P191" s="102"/>
      <c r="Q191" s="132"/>
      <c r="R191" s="102"/>
      <c r="S191" s="206"/>
      <c r="T191" s="70"/>
      <c r="U191" s="70"/>
      <c r="V191" s="71"/>
      <c r="W191" s="70"/>
      <c r="X191" s="70"/>
      <c r="Y191" s="71"/>
      <c r="Z191" s="64"/>
      <c r="AA191" s="65"/>
      <c r="AB191" s="70"/>
      <c r="AC191" s="64"/>
      <c r="AD191" s="65"/>
      <c r="AE191" s="70"/>
      <c r="AF191" s="71"/>
      <c r="AG191" s="70"/>
      <c r="AH191" s="70"/>
      <c r="AI191" s="71"/>
      <c r="AJ191" s="64" t="str">
        <f t="shared" si="37"/>
        <v/>
      </c>
      <c r="AK191" s="64" t="str">
        <f t="shared" si="29"/>
        <v/>
      </c>
      <c r="AL191" s="66"/>
      <c r="AM191" s="66"/>
    </row>
    <row r="192" spans="1:39" s="67" customFormat="1" ht="24" customHeight="1" x14ac:dyDescent="0.15">
      <c r="A192" s="299">
        <v>179</v>
      </c>
      <c r="B192" s="222"/>
      <c r="C192" s="136"/>
      <c r="D192" s="133"/>
      <c r="E192" s="230"/>
      <c r="F192" s="265"/>
      <c r="G192" s="224"/>
      <c r="H192" s="232"/>
      <c r="I192" s="233"/>
      <c r="J192" s="231"/>
      <c r="K192" s="269"/>
      <c r="L192" s="128"/>
      <c r="M192" s="128"/>
      <c r="N192" s="425"/>
      <c r="O192" s="425"/>
      <c r="P192" s="121"/>
      <c r="Q192" s="121"/>
      <c r="R192" s="121"/>
      <c r="S192" s="206"/>
      <c r="T192" s="70"/>
      <c r="U192" s="70"/>
      <c r="V192" s="71"/>
      <c r="W192" s="70"/>
      <c r="X192" s="70"/>
      <c r="Y192" s="71"/>
      <c r="Z192" s="64"/>
      <c r="AA192" s="65"/>
      <c r="AB192" s="70"/>
      <c r="AC192" s="64"/>
      <c r="AD192" s="65"/>
      <c r="AE192" s="70"/>
      <c r="AF192" s="71"/>
      <c r="AG192" s="70"/>
      <c r="AH192" s="70"/>
      <c r="AI192" s="71"/>
      <c r="AJ192" s="64" t="str">
        <f t="shared" si="37"/>
        <v/>
      </c>
      <c r="AK192" s="64" t="str">
        <f t="shared" si="29"/>
        <v/>
      </c>
      <c r="AL192" s="66"/>
      <c r="AM192" s="66"/>
    </row>
    <row r="193" spans="1:39" s="67" customFormat="1" ht="24" customHeight="1" x14ac:dyDescent="0.15">
      <c r="A193" s="300">
        <v>180</v>
      </c>
      <c r="B193" s="301"/>
      <c r="C193" s="302"/>
      <c r="D193" s="180"/>
      <c r="E193" s="303"/>
      <c r="F193" s="304"/>
      <c r="G193" s="305"/>
      <c r="H193" s="306"/>
      <c r="I193" s="307"/>
      <c r="J193" s="308"/>
      <c r="K193" s="309"/>
      <c r="L193" s="179"/>
      <c r="M193" s="483"/>
      <c r="N193" s="451"/>
      <c r="O193" s="451"/>
      <c r="P193" s="181"/>
      <c r="Q193" s="182"/>
      <c r="R193" s="181"/>
      <c r="S193" s="310"/>
      <c r="T193" s="72" t="s">
        <v>37</v>
      </c>
      <c r="U193" s="72">
        <f>COUNTIF(D174:D193,"철")</f>
        <v>0</v>
      </c>
      <c r="V193" s="73">
        <f>COUNTIF(I174:I193,"철")</f>
        <v>0</v>
      </c>
      <c r="W193" s="72" t="s">
        <v>26</v>
      </c>
      <c r="X193" s="72">
        <f>SUMIF(D174:D193,"철",F174:F193)</f>
        <v>0</v>
      </c>
      <c r="Y193" s="73">
        <f>SUMIF(I174:I193,"철",K174:K193)</f>
        <v>0</v>
      </c>
      <c r="Z193" s="64">
        <f>COUNTIF(AJ174:AJ193,"철국")+COUNTIF(AJ174:AJ193,"철공")</f>
        <v>0</v>
      </c>
      <c r="AA193" s="65">
        <f>COUNTIF(AK174:AK193,"철국")+COUNTIF(AK174:AK193,"철공")</f>
        <v>0</v>
      </c>
      <c r="AB193" s="72" t="s">
        <v>26</v>
      </c>
      <c r="AC193" s="64">
        <f>SUMIF(AJ174:AJ193,"철국",F174:F193)+SUMIF(AJ174:AJ193,"철공",F174:F193)</f>
        <v>0</v>
      </c>
      <c r="AD193" s="65">
        <f>SUMIF(AK174:AK193,"철국",K174:K193)+SUMIF(AK174:AK193,"철공",K174:K193)</f>
        <v>0</v>
      </c>
      <c r="AE193" s="72"/>
      <c r="AF193" s="73"/>
      <c r="AG193" s="72"/>
      <c r="AH193" s="72"/>
      <c r="AI193" s="73"/>
      <c r="AJ193" s="64" t="str">
        <f t="shared" si="37"/>
        <v/>
      </c>
      <c r="AK193" s="64" t="str">
        <f t="shared" si="29"/>
        <v/>
      </c>
      <c r="AL193" s="66"/>
      <c r="AM193" s="66"/>
    </row>
    <row r="194" spans="1:39" s="67" customFormat="1" ht="24" customHeight="1" thickBot="1" x14ac:dyDescent="0.2">
      <c r="A194" s="147" t="s">
        <v>48</v>
      </c>
      <c r="B194" s="148"/>
      <c r="C194" s="178"/>
      <c r="D194" s="178"/>
      <c r="E194" s="293"/>
      <c r="F194" s="294">
        <f>SUM(F174:F193)</f>
        <v>0</v>
      </c>
      <c r="G194" s="295"/>
      <c r="H194" s="295"/>
      <c r="I194" s="296"/>
      <c r="J194" s="297"/>
      <c r="K194" s="311">
        <f>SUM(K174:K193)</f>
        <v>0</v>
      </c>
      <c r="L194" s="150"/>
      <c r="M194" s="150"/>
      <c r="N194" s="432"/>
      <c r="O194" s="432"/>
      <c r="P194" s="150"/>
      <c r="Q194" s="150"/>
      <c r="R194" s="150"/>
      <c r="S194" s="151"/>
      <c r="T194" s="62" t="s">
        <v>24</v>
      </c>
      <c r="U194" s="63">
        <f t="shared" ref="U194:AA194" si="38">SUM(U174:U193)</f>
        <v>0</v>
      </c>
      <c r="V194" s="63">
        <f t="shared" si="38"/>
        <v>0</v>
      </c>
      <c r="W194" s="63">
        <f t="shared" si="38"/>
        <v>0</v>
      </c>
      <c r="X194" s="63">
        <f t="shared" si="38"/>
        <v>0</v>
      </c>
      <c r="Y194" s="63">
        <f t="shared" si="38"/>
        <v>0</v>
      </c>
      <c r="Z194" s="277">
        <f t="shared" si="38"/>
        <v>0</v>
      </c>
      <c r="AA194" s="278">
        <f t="shared" si="38"/>
        <v>0</v>
      </c>
      <c r="AB194" s="277" t="s">
        <v>26</v>
      </c>
      <c r="AC194" s="277">
        <f>SUM(AC174:AC193)</f>
        <v>0</v>
      </c>
      <c r="AD194" s="278">
        <f>SUM(AD174:AD193)</f>
        <v>0</v>
      </c>
      <c r="AE194" s="63">
        <f>SUM(AE174:AE193)</f>
        <v>0</v>
      </c>
      <c r="AF194" s="63">
        <f>SUM(AF174:AF193)</f>
        <v>0</v>
      </c>
      <c r="AG194" s="63" t="s">
        <v>26</v>
      </c>
      <c r="AH194" s="63">
        <f>SUM(AH174:AH193)</f>
        <v>0</v>
      </c>
      <c r="AI194" s="63">
        <f>SUM(AI174:AI193)</f>
        <v>0</v>
      </c>
      <c r="AJ194" s="63"/>
      <c r="AK194" s="64" t="str">
        <f t="shared" si="29"/>
        <v/>
      </c>
      <c r="AL194" s="66"/>
      <c r="AM194" s="66"/>
    </row>
    <row r="195" spans="1:39" s="67" customFormat="1" ht="24" customHeight="1" x14ac:dyDescent="0.15">
      <c r="A195" s="312">
        <v>181</v>
      </c>
      <c r="B195" s="215"/>
      <c r="C195" s="145"/>
      <c r="D195" s="279"/>
      <c r="E195" s="217"/>
      <c r="F195" s="280"/>
      <c r="G195" s="244"/>
      <c r="H195" s="282"/>
      <c r="I195" s="283"/>
      <c r="J195" s="219"/>
      <c r="K195" s="284"/>
      <c r="L195" s="220"/>
      <c r="M195" s="313"/>
      <c r="N195" s="442"/>
      <c r="O195" s="452"/>
      <c r="P195" s="145"/>
      <c r="Q195" s="145"/>
      <c r="R195" s="145"/>
      <c r="S195" s="221"/>
      <c r="T195" s="64" t="s">
        <v>27</v>
      </c>
      <c r="U195" s="64">
        <f>COUNTIF(D195:D214,"전")</f>
        <v>0</v>
      </c>
      <c r="V195" s="65">
        <f>COUNTIF(I195:I214,"전")</f>
        <v>0</v>
      </c>
      <c r="W195" s="64" t="s">
        <v>26</v>
      </c>
      <c r="X195" s="64">
        <f>SUMIF(D195:D214,"전",F195:F214)</f>
        <v>0</v>
      </c>
      <c r="Y195" s="65">
        <f>SUMIF(I195:I214,"전",K195:K214)</f>
        <v>0</v>
      </c>
      <c r="Z195" s="64">
        <f>COUNTIF(AJ195:AJ214,"전국")+COUNTIF(AJ195:AJ214,"전공")</f>
        <v>0</v>
      </c>
      <c r="AA195" s="65">
        <f>COUNTIF(AK195:AK214,"전국")+COUNTIF(AK195:AK214,"전공")</f>
        <v>0</v>
      </c>
      <c r="AB195" s="64" t="s">
        <v>26</v>
      </c>
      <c r="AC195" s="64">
        <f>SUMIF(AJ195:AJ214,"전국",F195:F214)+SUMIF(AJ195:AJ214,"전공",F195:F214)</f>
        <v>0</v>
      </c>
      <c r="AD195" s="65">
        <f>SUMIF(AK195:AK214,"전국",K195:K214)+SUMIF(AK195:AK214,"전공",K195:K214)</f>
        <v>0</v>
      </c>
      <c r="AE195" s="64">
        <f t="shared" ref="AE195:AF211" si="39">U195-Z195</f>
        <v>0</v>
      </c>
      <c r="AF195" s="65">
        <f t="shared" si="39"/>
        <v>0</v>
      </c>
      <c r="AG195" s="64" t="s">
        <v>26</v>
      </c>
      <c r="AH195" s="64">
        <f t="shared" ref="AH195:AI211" si="40">X195-AC195</f>
        <v>0</v>
      </c>
      <c r="AI195" s="65">
        <f t="shared" si="40"/>
        <v>0</v>
      </c>
      <c r="AJ195" s="64" t="str">
        <f t="shared" ref="AJ195:AJ214" si="41">CONCATENATE(D195,L195)</f>
        <v/>
      </c>
      <c r="AK195" s="64" t="str">
        <f t="shared" si="29"/>
        <v/>
      </c>
      <c r="AL195" s="66"/>
      <c r="AM195" s="66"/>
    </row>
    <row r="196" spans="1:39" s="67" customFormat="1" ht="24" customHeight="1" x14ac:dyDescent="0.15">
      <c r="A196" s="299">
        <v>182</v>
      </c>
      <c r="B196" s="222"/>
      <c r="C196" s="136"/>
      <c r="D196" s="133"/>
      <c r="E196" s="230"/>
      <c r="F196" s="265"/>
      <c r="G196" s="224"/>
      <c r="H196" s="232"/>
      <c r="I196" s="233"/>
      <c r="J196" s="231"/>
      <c r="K196" s="269"/>
      <c r="L196" s="123"/>
      <c r="M196" s="298"/>
      <c r="N196" s="430"/>
      <c r="O196" s="450"/>
      <c r="P196" s="102"/>
      <c r="Q196" s="132"/>
      <c r="R196" s="102"/>
      <c r="S196" s="206"/>
      <c r="T196" s="64" t="s">
        <v>28</v>
      </c>
      <c r="U196" s="64">
        <f>COUNTIF(D195:D214,"답")</f>
        <v>0</v>
      </c>
      <c r="V196" s="65">
        <f>COUNTIF(I195:I214,"답")</f>
        <v>0</v>
      </c>
      <c r="W196" s="64" t="s">
        <v>26</v>
      </c>
      <c r="X196" s="64">
        <f>SUMIF(D195:D214,"답",F195:F214)</f>
        <v>0</v>
      </c>
      <c r="Y196" s="65">
        <f>SUMIF(I195:I214,"답",K195:K214)</f>
        <v>0</v>
      </c>
      <c r="Z196" s="64">
        <f>COUNTIF(AJ195:AJ214,"답국")+COUNTIF(AJ195:AJ214,"답공")</f>
        <v>0</v>
      </c>
      <c r="AA196" s="65">
        <f>COUNTIF(AK195:AK214,"답국")+COUNTIF(AK195:AK214,"답공")</f>
        <v>0</v>
      </c>
      <c r="AB196" s="64" t="s">
        <v>26</v>
      </c>
      <c r="AC196" s="64">
        <f>SUMIF(AJ195:AJ214,"답국",F195:F214)+SUMIF(AJ195:AJ214,"답공",F195:F214)</f>
        <v>0</v>
      </c>
      <c r="AD196" s="65">
        <f>SUMIF(AK195:AK214,"답국",K195:K214)+SUMIF(AK195:AK214,"답공",K195:K214)</f>
        <v>0</v>
      </c>
      <c r="AE196" s="64">
        <f t="shared" si="39"/>
        <v>0</v>
      </c>
      <c r="AF196" s="65">
        <f t="shared" si="39"/>
        <v>0</v>
      </c>
      <c r="AG196" s="64" t="s">
        <v>26</v>
      </c>
      <c r="AH196" s="64">
        <f t="shared" si="40"/>
        <v>0</v>
      </c>
      <c r="AI196" s="65">
        <f t="shared" si="40"/>
        <v>0</v>
      </c>
      <c r="AJ196" s="64" t="str">
        <f t="shared" si="41"/>
        <v/>
      </c>
      <c r="AK196" s="64" t="str">
        <f t="shared" si="29"/>
        <v/>
      </c>
      <c r="AL196" s="66"/>
      <c r="AM196" s="66"/>
    </row>
    <row r="197" spans="1:39" s="67" customFormat="1" ht="24" customHeight="1" x14ac:dyDescent="0.15">
      <c r="A197" s="299">
        <v>183</v>
      </c>
      <c r="B197" s="222"/>
      <c r="C197" s="132"/>
      <c r="D197" s="274"/>
      <c r="E197" s="230"/>
      <c r="F197" s="265"/>
      <c r="G197" s="224"/>
      <c r="H197" s="267"/>
      <c r="I197" s="275"/>
      <c r="J197" s="231"/>
      <c r="K197" s="269"/>
      <c r="L197" s="128"/>
      <c r="M197" s="128"/>
      <c r="N197" s="425"/>
      <c r="O197" s="425"/>
      <c r="P197" s="102"/>
      <c r="Q197" s="132"/>
      <c r="R197" s="102"/>
      <c r="S197" s="206"/>
      <c r="T197" s="64" t="s">
        <v>44</v>
      </c>
      <c r="U197" s="64">
        <f>COUNTIF(D195:D214,"임")</f>
        <v>0</v>
      </c>
      <c r="V197" s="65">
        <f>COUNTIF(I195:I214,"임")</f>
        <v>0</v>
      </c>
      <c r="W197" s="64" t="s">
        <v>26</v>
      </c>
      <c r="X197" s="64">
        <f>SUMIF(D195:D214,"임",F195:F214)</f>
        <v>0</v>
      </c>
      <c r="Y197" s="65">
        <f>SUMIF(I195:I214,"임",K195:K214)</f>
        <v>0</v>
      </c>
      <c r="Z197" s="64">
        <f>COUNTIF(AJ195:AJ214,"임국")+COUNTIF(AJ195:AJ214,"임공")</f>
        <v>0</v>
      </c>
      <c r="AA197" s="65">
        <f>COUNTIF(AK195:AK214,"임국")+COUNTIF(AK195:AK214,"임공")</f>
        <v>0</v>
      </c>
      <c r="AB197" s="64" t="s">
        <v>26</v>
      </c>
      <c r="AC197" s="64">
        <f>SUMIF(AJ195:AJ214,"임국",F195:F214)+SUMIF(AJ195:AJ214,"임공",F195:F214)</f>
        <v>0</v>
      </c>
      <c r="AD197" s="65">
        <f>SUMIF(AK195:AK214,"임국",K195:K214)+SUMIF(AK195:AK214,"임공",K195:K214)</f>
        <v>0</v>
      </c>
      <c r="AE197" s="64">
        <f t="shared" si="39"/>
        <v>0</v>
      </c>
      <c r="AF197" s="65">
        <f t="shared" si="39"/>
        <v>0</v>
      </c>
      <c r="AG197" s="64" t="s">
        <v>26</v>
      </c>
      <c r="AH197" s="64">
        <f t="shared" si="40"/>
        <v>0</v>
      </c>
      <c r="AI197" s="65">
        <f t="shared" si="40"/>
        <v>0</v>
      </c>
      <c r="AJ197" s="64" t="str">
        <f t="shared" si="41"/>
        <v/>
      </c>
      <c r="AK197" s="64" t="str">
        <f t="shared" si="29"/>
        <v/>
      </c>
      <c r="AL197" s="66"/>
      <c r="AM197" s="66"/>
    </row>
    <row r="198" spans="1:39" s="67" customFormat="1" ht="24" customHeight="1" x14ac:dyDescent="0.15">
      <c r="A198" s="299">
        <v>184</v>
      </c>
      <c r="B198" s="222"/>
      <c r="C198" s="136"/>
      <c r="D198" s="133"/>
      <c r="E198" s="265"/>
      <c r="F198" s="265"/>
      <c r="G198" s="266"/>
      <c r="H198" s="232"/>
      <c r="I198" s="233"/>
      <c r="J198" s="269"/>
      <c r="K198" s="269"/>
      <c r="L198" s="314"/>
      <c r="M198" s="298"/>
      <c r="N198" s="453"/>
      <c r="O198" s="450"/>
      <c r="P198" s="121"/>
      <c r="Q198" s="121"/>
      <c r="R198" s="121"/>
      <c r="S198" s="206"/>
      <c r="T198" s="64" t="s">
        <v>45</v>
      </c>
      <c r="U198" s="64">
        <f>COUNTIF(D195:D214,"대")</f>
        <v>0</v>
      </c>
      <c r="V198" s="65">
        <f>COUNTIF(I195:I214,"대")</f>
        <v>0</v>
      </c>
      <c r="W198" s="64" t="s">
        <v>26</v>
      </c>
      <c r="X198" s="64">
        <f>SUMIF(D195:D214,"대",F195:F214)</f>
        <v>0</v>
      </c>
      <c r="Y198" s="65">
        <f>SUMIF(I195:I214,"대",K195:K214)</f>
        <v>0</v>
      </c>
      <c r="Z198" s="64">
        <f>COUNTIF(AJ195:AJ214,"대국")+COUNTIF(AJ195:AJ214,"대공")</f>
        <v>0</v>
      </c>
      <c r="AA198" s="65">
        <f>COUNTIF(AK195:AK214,"대국")+COUNTIF(AK195:AK214,"대공")</f>
        <v>0</v>
      </c>
      <c r="AB198" s="64" t="s">
        <v>26</v>
      </c>
      <c r="AC198" s="64">
        <f>SUMIF(AJ195:AJ214,"대국",F195:F214)+SUMIF(AJ195:AJ214,"대공",F195:F214)</f>
        <v>0</v>
      </c>
      <c r="AD198" s="65">
        <f>SUMIF(AK195:AK214,"대국",K195:K214)+SUMIF(AK195:AK214,"대공",K195:K214)</f>
        <v>0</v>
      </c>
      <c r="AE198" s="64">
        <f t="shared" si="39"/>
        <v>0</v>
      </c>
      <c r="AF198" s="65">
        <f t="shared" si="39"/>
        <v>0</v>
      </c>
      <c r="AG198" s="64" t="s">
        <v>26</v>
      </c>
      <c r="AH198" s="64">
        <f t="shared" si="40"/>
        <v>0</v>
      </c>
      <c r="AI198" s="65">
        <f t="shared" si="40"/>
        <v>0</v>
      </c>
      <c r="AJ198" s="64" t="str">
        <f t="shared" si="41"/>
        <v/>
      </c>
      <c r="AK198" s="64" t="str">
        <f t="shared" si="29"/>
        <v/>
      </c>
      <c r="AL198" s="66"/>
      <c r="AM198" s="66"/>
    </row>
    <row r="199" spans="1:39" s="67" customFormat="1" ht="24" customHeight="1" x14ac:dyDescent="0.15">
      <c r="A199" s="299">
        <v>185</v>
      </c>
      <c r="B199" s="222"/>
      <c r="C199" s="132"/>
      <c r="D199" s="274"/>
      <c r="E199" s="230"/>
      <c r="F199" s="265"/>
      <c r="G199" s="224"/>
      <c r="H199" s="267"/>
      <c r="I199" s="275"/>
      <c r="J199" s="231"/>
      <c r="K199" s="269"/>
      <c r="L199" s="128"/>
      <c r="M199" s="298"/>
      <c r="N199" s="425"/>
      <c r="O199" s="450"/>
      <c r="P199" s="102"/>
      <c r="Q199" s="132"/>
      <c r="R199" s="102"/>
      <c r="S199" s="206"/>
      <c r="T199" s="64" t="s">
        <v>31</v>
      </c>
      <c r="U199" s="64">
        <f>COUNTIF(D195:D214,"도")</f>
        <v>0</v>
      </c>
      <c r="V199" s="65">
        <f>COUNTIF(I195:I214,"도")</f>
        <v>0</v>
      </c>
      <c r="W199" s="64" t="s">
        <v>26</v>
      </c>
      <c r="X199" s="64">
        <f>SUMIF(D195:D214,"도",F195:F214)</f>
        <v>0</v>
      </c>
      <c r="Y199" s="65">
        <f>SUMIF(I195:I214,"도",K195:K214)</f>
        <v>0</v>
      </c>
      <c r="Z199" s="64">
        <f>COUNTIF(AJ195:AJ214,"도국")+COUNTIF(AJ195:AJ214,"도공")</f>
        <v>0</v>
      </c>
      <c r="AA199" s="65">
        <f>COUNTIF(AK195:AK214,"도국")+COUNTIF(AK195:AK214,"도공")</f>
        <v>0</v>
      </c>
      <c r="AB199" s="64" t="s">
        <v>26</v>
      </c>
      <c r="AC199" s="64">
        <f>SUMIF(AJ195:AJ214,"도국",F195:F214)+SUMIF(AJ195:AJ214,"도공",F195:F214)</f>
        <v>0</v>
      </c>
      <c r="AD199" s="65">
        <f>SUMIF(AK195:AK214,"도국",K195:K214)+SUMIF(AK195:AK214,"도공",K195:K214)</f>
        <v>0</v>
      </c>
      <c r="AE199" s="64">
        <f t="shared" si="39"/>
        <v>0</v>
      </c>
      <c r="AF199" s="65">
        <f t="shared" si="39"/>
        <v>0</v>
      </c>
      <c r="AG199" s="64" t="s">
        <v>26</v>
      </c>
      <c r="AH199" s="64">
        <f t="shared" si="40"/>
        <v>0</v>
      </c>
      <c r="AI199" s="65">
        <f t="shared" si="40"/>
        <v>0</v>
      </c>
      <c r="AJ199" s="64" t="str">
        <f t="shared" si="41"/>
        <v/>
      </c>
      <c r="AK199" s="64" t="str">
        <f t="shared" ref="AK199:AK262" si="42">CONCATENATE(I199,N199)</f>
        <v/>
      </c>
      <c r="AL199" s="66"/>
      <c r="AM199" s="66"/>
    </row>
    <row r="200" spans="1:39" s="67" customFormat="1" ht="24" customHeight="1" x14ac:dyDescent="0.15">
      <c r="A200" s="299">
        <v>186</v>
      </c>
      <c r="B200" s="222"/>
      <c r="C200" s="132"/>
      <c r="D200" s="274"/>
      <c r="E200" s="230"/>
      <c r="F200" s="265"/>
      <c r="G200" s="224"/>
      <c r="H200" s="267"/>
      <c r="I200" s="275"/>
      <c r="J200" s="231"/>
      <c r="K200" s="269"/>
      <c r="L200" s="128"/>
      <c r="M200" s="128"/>
      <c r="N200" s="425"/>
      <c r="O200" s="425"/>
      <c r="P200" s="132"/>
      <c r="Q200" s="132"/>
      <c r="R200" s="132"/>
      <c r="S200" s="264"/>
      <c r="T200" s="64" t="s">
        <v>32</v>
      </c>
      <c r="U200" s="68">
        <f>COUNTIF(D195:D214,"천")</f>
        <v>0</v>
      </c>
      <c r="V200" s="69">
        <f>COUNTIF(I195:I214,"천")</f>
        <v>0</v>
      </c>
      <c r="W200" s="64" t="s">
        <v>26</v>
      </c>
      <c r="X200" s="64">
        <f>SUMIF(D195:D214,"천",F195:F214)</f>
        <v>0</v>
      </c>
      <c r="Y200" s="65">
        <f>SUMIF(I195:I214,"천",K195:K214)</f>
        <v>0</v>
      </c>
      <c r="Z200" s="64">
        <f>COUNTIF(AJ195:AJ214,"천국")+COUNTIF(AJ195:AJ214,"천공")</f>
        <v>0</v>
      </c>
      <c r="AA200" s="65">
        <f>COUNTIF(AK195:AK214,"천국")+COUNTIF(AK195:AK214,"천공")</f>
        <v>0</v>
      </c>
      <c r="AB200" s="64" t="s">
        <v>26</v>
      </c>
      <c r="AC200" s="64">
        <f>SUMIF(AJ195:AJ214,"천국",F195:F214)+SUMIF(AJ195:AJ214,"천공",F195:F214)</f>
        <v>0</v>
      </c>
      <c r="AD200" s="65">
        <f>SUMIF(AK195:AK214,"천국",K195:K214)+SUMIF(AK195:AK214,"천공",K195:K214)</f>
        <v>0</v>
      </c>
      <c r="AE200" s="64">
        <f t="shared" si="39"/>
        <v>0</v>
      </c>
      <c r="AF200" s="65">
        <f t="shared" si="39"/>
        <v>0</v>
      </c>
      <c r="AG200" s="64" t="s">
        <v>26</v>
      </c>
      <c r="AH200" s="64">
        <f t="shared" si="40"/>
        <v>0</v>
      </c>
      <c r="AI200" s="65">
        <f t="shared" si="40"/>
        <v>0</v>
      </c>
      <c r="AJ200" s="64" t="str">
        <f t="shared" si="41"/>
        <v/>
      </c>
      <c r="AK200" s="64" t="str">
        <f t="shared" si="42"/>
        <v/>
      </c>
      <c r="AL200" s="66"/>
      <c r="AM200" s="66"/>
    </row>
    <row r="201" spans="1:39" s="67" customFormat="1" ht="24" customHeight="1" x14ac:dyDescent="0.15">
      <c r="A201" s="299">
        <v>187</v>
      </c>
      <c r="B201" s="222"/>
      <c r="C201" s="132"/>
      <c r="D201" s="274"/>
      <c r="E201" s="230"/>
      <c r="F201" s="265"/>
      <c r="G201" s="224"/>
      <c r="H201" s="267"/>
      <c r="I201" s="275"/>
      <c r="J201" s="231"/>
      <c r="K201" s="269"/>
      <c r="L201" s="128"/>
      <c r="M201" s="128"/>
      <c r="N201" s="425"/>
      <c r="O201" s="425"/>
      <c r="P201" s="132"/>
      <c r="Q201" s="132"/>
      <c r="R201" s="132"/>
      <c r="S201" s="264"/>
      <c r="T201" s="64" t="s">
        <v>33</v>
      </c>
      <c r="U201" s="64">
        <f>COUNTIF(D195:D214,"구")</f>
        <v>0</v>
      </c>
      <c r="V201" s="65">
        <f>COUNTIF(I195:I214,"구")</f>
        <v>0</v>
      </c>
      <c r="W201" s="64" t="s">
        <v>26</v>
      </c>
      <c r="X201" s="64">
        <f>SUMIF(D195:D214,"구",F195:F214)</f>
        <v>0</v>
      </c>
      <c r="Y201" s="65">
        <f>SUMIF(I195:I214,"구",K195:K214)</f>
        <v>0</v>
      </c>
      <c r="Z201" s="64">
        <f>COUNTIF(AJ195:AJ214,"구국")+COUNTIF(AJ195:AJ214,"구공")</f>
        <v>0</v>
      </c>
      <c r="AA201" s="65">
        <f>COUNTIF(AK195:AK214,"구국")+COUNTIF(AK195:AK214,"구공")</f>
        <v>0</v>
      </c>
      <c r="AB201" s="64" t="s">
        <v>26</v>
      </c>
      <c r="AC201" s="64">
        <f>SUMIF(AJ195:AJ214,"구국",F195:F214)+SUMIF(AJ195:AJ214,"구공",F195:F214)</f>
        <v>0</v>
      </c>
      <c r="AD201" s="65">
        <f>SUMIF(AK195:AK214,"구국",K195:K214)+SUMIF(AK195:AK214,"구공",K195:K214)</f>
        <v>0</v>
      </c>
      <c r="AE201" s="64">
        <f t="shared" si="39"/>
        <v>0</v>
      </c>
      <c r="AF201" s="65">
        <f t="shared" si="39"/>
        <v>0</v>
      </c>
      <c r="AG201" s="64" t="s">
        <v>26</v>
      </c>
      <c r="AH201" s="64">
        <f t="shared" si="40"/>
        <v>0</v>
      </c>
      <c r="AI201" s="65">
        <f t="shared" si="40"/>
        <v>0</v>
      </c>
      <c r="AJ201" s="64" t="str">
        <f t="shared" si="41"/>
        <v/>
      </c>
      <c r="AK201" s="64" t="str">
        <f t="shared" si="42"/>
        <v/>
      </c>
      <c r="AL201" s="66"/>
      <c r="AM201" s="66"/>
    </row>
    <row r="202" spans="1:39" s="67" customFormat="1" ht="24" customHeight="1" x14ac:dyDescent="0.15">
      <c r="A202" s="299">
        <v>188</v>
      </c>
      <c r="B202" s="222"/>
      <c r="C202" s="132"/>
      <c r="D202" s="274"/>
      <c r="E202" s="230"/>
      <c r="F202" s="265"/>
      <c r="G202" s="224"/>
      <c r="H202" s="267"/>
      <c r="I202" s="275"/>
      <c r="J202" s="231"/>
      <c r="K202" s="269"/>
      <c r="L202" s="128"/>
      <c r="M202" s="128"/>
      <c r="N202" s="425"/>
      <c r="O202" s="425"/>
      <c r="P202" s="132"/>
      <c r="Q202" s="132"/>
      <c r="R202" s="132"/>
      <c r="S202" s="206"/>
      <c r="T202" s="64" t="s">
        <v>34</v>
      </c>
      <c r="U202" s="64">
        <f>COUNTIF(D195:D214,"제")</f>
        <v>0</v>
      </c>
      <c r="V202" s="65">
        <f>COUNTIF(I195:I214,"제")</f>
        <v>0</v>
      </c>
      <c r="W202" s="64" t="s">
        <v>26</v>
      </c>
      <c r="X202" s="64">
        <f>SUMIF(D195:D214,"제",F195:F214)</f>
        <v>0</v>
      </c>
      <c r="Y202" s="65">
        <f>SUMIF(I195:I214,"제",K195:K214)</f>
        <v>0</v>
      </c>
      <c r="Z202" s="64">
        <f>COUNTIF(AJ195:AJ214,"제국")+COUNTIF(AJ195:AJ214,"제공")</f>
        <v>0</v>
      </c>
      <c r="AA202" s="65">
        <f>COUNTIF(AK195:AK214,"제국")+COUNTIF(AK195:AK214,"제공")</f>
        <v>0</v>
      </c>
      <c r="AB202" s="64" t="s">
        <v>26</v>
      </c>
      <c r="AC202" s="64">
        <f>SUMIF(AJ195:AJ214,"제국",F195:F214)+SUMIF(AJ195:AJ214,"제공",F195:F214)</f>
        <v>0</v>
      </c>
      <c r="AD202" s="65">
        <f>SUMIF(AK195:AK214,"제국",K195:K214)+SUMIF(AK195:AK214,"제공",K195:K214)</f>
        <v>0</v>
      </c>
      <c r="AE202" s="64">
        <f t="shared" si="39"/>
        <v>0</v>
      </c>
      <c r="AF202" s="65">
        <f t="shared" si="39"/>
        <v>0</v>
      </c>
      <c r="AG202" s="64" t="s">
        <v>26</v>
      </c>
      <c r="AH202" s="64">
        <f t="shared" si="40"/>
        <v>0</v>
      </c>
      <c r="AI202" s="65">
        <f t="shared" si="40"/>
        <v>0</v>
      </c>
      <c r="AJ202" s="64" t="str">
        <f t="shared" si="41"/>
        <v/>
      </c>
      <c r="AK202" s="64" t="str">
        <f t="shared" si="42"/>
        <v/>
      </c>
      <c r="AL202" s="66"/>
      <c r="AM202" s="66"/>
    </row>
    <row r="203" spans="1:39" s="67" customFormat="1" ht="24" customHeight="1" x14ac:dyDescent="0.15">
      <c r="A203" s="299">
        <v>189</v>
      </c>
      <c r="B203" s="222"/>
      <c r="C203" s="132"/>
      <c r="D203" s="274"/>
      <c r="E203" s="230"/>
      <c r="F203" s="265"/>
      <c r="G203" s="224"/>
      <c r="H203" s="267"/>
      <c r="I203" s="275"/>
      <c r="J203" s="231"/>
      <c r="K203" s="269"/>
      <c r="L203" s="128"/>
      <c r="M203" s="137"/>
      <c r="N203" s="425"/>
      <c r="O203" s="425"/>
      <c r="P203" s="132"/>
      <c r="Q203" s="138"/>
      <c r="R203" s="132"/>
      <c r="S203" s="264"/>
      <c r="T203" s="64" t="s">
        <v>46</v>
      </c>
      <c r="U203" s="64">
        <f>COUNTIF(D195:D214,"유")</f>
        <v>0</v>
      </c>
      <c r="V203" s="65">
        <f>COUNTIF(I195:I214,"유")</f>
        <v>0</v>
      </c>
      <c r="W203" s="64" t="s">
        <v>26</v>
      </c>
      <c r="X203" s="64">
        <f>SUMIF(D195:D214,"유",F195:F214)</f>
        <v>0</v>
      </c>
      <c r="Y203" s="65">
        <f>SUMIF(I195:I214,"유",K195:K214)</f>
        <v>0</v>
      </c>
      <c r="Z203" s="64">
        <f>COUNTIF(AJ195:AJ214,"유국")+COUNTIF(AJ195:AJ214,"유공")</f>
        <v>0</v>
      </c>
      <c r="AA203" s="65">
        <f>COUNTIF(AK195:AK214,"유국")+COUNTIF(AK195:AK214,"유공")</f>
        <v>0</v>
      </c>
      <c r="AB203" s="64" t="s">
        <v>26</v>
      </c>
      <c r="AC203" s="64">
        <f>SUMIF(AJ195:AJ214,"유국",F195:F214)+SUMIF(AJ195:AJ214,"유공",F195:F214)</f>
        <v>0</v>
      </c>
      <c r="AD203" s="65">
        <f>SUMIF(AK195:AK214,"유국",K195:K214)+SUMIF(AK195:AK214,"유공",K195:K214)</f>
        <v>0</v>
      </c>
      <c r="AE203" s="64">
        <f t="shared" si="39"/>
        <v>0</v>
      </c>
      <c r="AF203" s="65">
        <f t="shared" si="39"/>
        <v>0</v>
      </c>
      <c r="AG203" s="64" t="s">
        <v>26</v>
      </c>
      <c r="AH203" s="64">
        <f t="shared" si="40"/>
        <v>0</v>
      </c>
      <c r="AI203" s="65">
        <f t="shared" si="40"/>
        <v>0</v>
      </c>
      <c r="AJ203" s="64" t="str">
        <f t="shared" si="41"/>
        <v/>
      </c>
      <c r="AK203" s="64" t="str">
        <f t="shared" si="42"/>
        <v/>
      </c>
      <c r="AL203" s="66"/>
      <c r="AM203" s="66"/>
    </row>
    <row r="204" spans="1:39" s="67" customFormat="1" ht="24" customHeight="1" x14ac:dyDescent="0.15">
      <c r="A204" s="299">
        <v>190</v>
      </c>
      <c r="B204" s="222"/>
      <c r="C204" s="136"/>
      <c r="D204" s="274"/>
      <c r="E204" s="265"/>
      <c r="F204" s="265"/>
      <c r="G204" s="266"/>
      <c r="H204" s="232"/>
      <c r="I204" s="275"/>
      <c r="J204" s="269"/>
      <c r="K204" s="269"/>
      <c r="L204" s="128"/>
      <c r="M204" s="128"/>
      <c r="N204" s="425"/>
      <c r="O204" s="425"/>
      <c r="P204" s="132"/>
      <c r="Q204" s="132"/>
      <c r="R204" s="132"/>
      <c r="S204" s="264"/>
      <c r="T204" s="64" t="s">
        <v>47</v>
      </c>
      <c r="U204" s="64">
        <f>COUNTIF(D195:D214,"과")</f>
        <v>0</v>
      </c>
      <c r="V204" s="65">
        <f>COUNTIF(I195:I214,"과")</f>
        <v>0</v>
      </c>
      <c r="W204" s="64" t="s">
        <v>26</v>
      </c>
      <c r="X204" s="64">
        <f>SUMIF(D195:D214,"과",F195:F214)</f>
        <v>0</v>
      </c>
      <c r="Y204" s="65">
        <f>SUMIF(I195:I214,"과",K195:K214)</f>
        <v>0</v>
      </c>
      <c r="Z204" s="64">
        <f>COUNTIF(AJ195:AJ214,"과국")+COUNTIF(AJ195:AJ214,"과공")</f>
        <v>0</v>
      </c>
      <c r="AA204" s="65">
        <f>COUNTIF(AK195:AK214,"과국")+COUNTIF(AK195:AK214,"과공")</f>
        <v>0</v>
      </c>
      <c r="AB204" s="64" t="s">
        <v>26</v>
      </c>
      <c r="AC204" s="64">
        <f>SUMIF(AJ195:AJ214,"과국",F195:F214)+SUMIF(AJ195:AJ214,"과공",F195:F214)</f>
        <v>0</v>
      </c>
      <c r="AD204" s="65">
        <f>SUMIF(AK195:AK214,"과국",K195:K214)+SUMIF(AK195:AK214,"과공",K195:K214)</f>
        <v>0</v>
      </c>
      <c r="AE204" s="64">
        <f t="shared" si="39"/>
        <v>0</v>
      </c>
      <c r="AF204" s="65">
        <f t="shared" si="39"/>
        <v>0</v>
      </c>
      <c r="AG204" s="64" t="s">
        <v>26</v>
      </c>
      <c r="AH204" s="64">
        <f t="shared" si="40"/>
        <v>0</v>
      </c>
      <c r="AI204" s="65">
        <f t="shared" si="40"/>
        <v>0</v>
      </c>
      <c r="AJ204" s="64" t="str">
        <f t="shared" si="41"/>
        <v/>
      </c>
      <c r="AK204" s="64" t="str">
        <f t="shared" si="42"/>
        <v/>
      </c>
      <c r="AL204" s="66"/>
      <c r="AM204" s="66"/>
    </row>
    <row r="205" spans="1:39" s="67" customFormat="1" ht="24" customHeight="1" x14ac:dyDescent="0.15">
      <c r="A205" s="299">
        <v>191</v>
      </c>
      <c r="B205" s="222"/>
      <c r="C205" s="136"/>
      <c r="D205" s="133"/>
      <c r="E205" s="265"/>
      <c r="F205" s="265"/>
      <c r="G205" s="266"/>
      <c r="H205" s="232"/>
      <c r="I205" s="233"/>
      <c r="J205" s="269"/>
      <c r="K205" s="269"/>
      <c r="L205" s="128"/>
      <c r="M205" s="137"/>
      <c r="N205" s="425"/>
      <c r="O205" s="445"/>
      <c r="P205" s="132"/>
      <c r="Q205" s="132"/>
      <c r="R205" s="132"/>
      <c r="S205" s="264"/>
      <c r="T205" s="64" t="s">
        <v>36</v>
      </c>
      <c r="U205" s="64">
        <f>COUNTIF(D195:D214,"묘")</f>
        <v>0</v>
      </c>
      <c r="V205" s="65">
        <f>COUNTIF(I195:I214,"묘")</f>
        <v>0</v>
      </c>
      <c r="W205" s="64" t="s">
        <v>26</v>
      </c>
      <c r="X205" s="64">
        <f>SUMIF(D195:D214,"묘",F195:F214)</f>
        <v>0</v>
      </c>
      <c r="Y205" s="65">
        <f>SUMIF(I195:I214,"묘",K195:K214)</f>
        <v>0</v>
      </c>
      <c r="Z205" s="64">
        <f>COUNTIF(AJ195:AJ214,"묘국")+COUNTIF(AJ195:AJ214,"묘공")</f>
        <v>0</v>
      </c>
      <c r="AA205" s="65">
        <f>COUNTIF(AK195:AK214,"묘국")+COUNTIF(AK195:AK214,"묘공")</f>
        <v>0</v>
      </c>
      <c r="AB205" s="64" t="s">
        <v>26</v>
      </c>
      <c r="AC205" s="64">
        <f>SUMIF(AJ195:AJ214,"묘국",F195:F214)+SUMIF(AJ195:AJ214,"묘공",F195:F214)</f>
        <v>0</v>
      </c>
      <c r="AD205" s="65">
        <f>SUMIF(AK195:AK214,"묘국",K195:K214)+SUMIF(AK195:AK214,"묘공",K195:K214)</f>
        <v>0</v>
      </c>
      <c r="AE205" s="64">
        <f t="shared" si="39"/>
        <v>0</v>
      </c>
      <c r="AF205" s="65">
        <f t="shared" si="39"/>
        <v>0</v>
      </c>
      <c r="AG205" s="64" t="s">
        <v>26</v>
      </c>
      <c r="AH205" s="64">
        <f t="shared" si="40"/>
        <v>0</v>
      </c>
      <c r="AI205" s="65">
        <f t="shared" si="40"/>
        <v>0</v>
      </c>
      <c r="AJ205" s="64" t="str">
        <f t="shared" si="41"/>
        <v/>
      </c>
      <c r="AK205" s="64" t="str">
        <f t="shared" si="42"/>
        <v/>
      </c>
      <c r="AL205" s="66"/>
      <c r="AM205" s="66"/>
    </row>
    <row r="206" spans="1:39" s="67" customFormat="1" ht="24" customHeight="1" x14ac:dyDescent="0.15">
      <c r="A206" s="299">
        <v>192</v>
      </c>
      <c r="B206" s="222"/>
      <c r="C206" s="136"/>
      <c r="D206" s="133"/>
      <c r="E206" s="286"/>
      <c r="F206" s="265"/>
      <c r="G206" s="287"/>
      <c r="H206" s="232"/>
      <c r="I206" s="233"/>
      <c r="J206" s="288"/>
      <c r="K206" s="269"/>
      <c r="L206" s="128"/>
      <c r="M206" s="128"/>
      <c r="N206" s="425"/>
      <c r="O206" s="425"/>
      <c r="P206" s="132"/>
      <c r="Q206" s="132"/>
      <c r="R206" s="132"/>
      <c r="S206" s="206"/>
      <c r="T206" s="64" t="s">
        <v>39</v>
      </c>
      <c r="U206" s="64">
        <f>COUNTIF(D195:D214,"수")</f>
        <v>0</v>
      </c>
      <c r="V206" s="65">
        <f>COUNTIF(I195:I214,"수")</f>
        <v>0</v>
      </c>
      <c r="W206" s="64" t="s">
        <v>26</v>
      </c>
      <c r="X206" s="64">
        <f>SUMIF(D195:D214,"수",F195:F214)</f>
        <v>0</v>
      </c>
      <c r="Y206" s="65">
        <f>SUMIF(I195:I214,"수",K195:K214)</f>
        <v>0</v>
      </c>
      <c r="Z206" s="64">
        <f>COUNTIF(AJ195:AJ214,"수국")+COUNTIF(AJ195:AJ214,"수공")</f>
        <v>0</v>
      </c>
      <c r="AA206" s="65">
        <f>COUNTIF(AK195:AK214,"수국")+COUNTIF(AK195:AK214,"수공")</f>
        <v>0</v>
      </c>
      <c r="AB206" s="64" t="s">
        <v>26</v>
      </c>
      <c r="AC206" s="64">
        <f>SUMIF(AJ195:AJ214,"수국",F195:F214)+SUMIF(AJ195:AJ214,"수공",F195:F214)</f>
        <v>0</v>
      </c>
      <c r="AD206" s="65">
        <f>SUMIF(AK195:AK214,"수국",K195:K214)+SUMIF(AK195:AK214,"수공",K195:K214)</f>
        <v>0</v>
      </c>
      <c r="AE206" s="64">
        <f t="shared" si="39"/>
        <v>0</v>
      </c>
      <c r="AF206" s="65">
        <f t="shared" si="39"/>
        <v>0</v>
      </c>
      <c r="AG206" s="64" t="s">
        <v>26</v>
      </c>
      <c r="AH206" s="64">
        <f t="shared" si="40"/>
        <v>0</v>
      </c>
      <c r="AI206" s="65">
        <f t="shared" si="40"/>
        <v>0</v>
      </c>
      <c r="AJ206" s="64" t="str">
        <f t="shared" si="41"/>
        <v/>
      </c>
      <c r="AK206" s="64" t="str">
        <f t="shared" si="42"/>
        <v/>
      </c>
      <c r="AL206" s="66"/>
      <c r="AM206" s="66"/>
    </row>
    <row r="207" spans="1:39" s="67" customFormat="1" ht="24" customHeight="1" x14ac:dyDescent="0.15">
      <c r="A207" s="299">
        <v>193</v>
      </c>
      <c r="B207" s="222"/>
      <c r="C207" s="136"/>
      <c r="D207" s="133"/>
      <c r="E207" s="265"/>
      <c r="F207" s="265"/>
      <c r="G207" s="266"/>
      <c r="H207" s="232"/>
      <c r="I207" s="233"/>
      <c r="J207" s="269"/>
      <c r="K207" s="269"/>
      <c r="L207" s="128"/>
      <c r="M207" s="128"/>
      <c r="N207" s="425"/>
      <c r="O207" s="425"/>
      <c r="P207" s="132"/>
      <c r="Q207" s="132"/>
      <c r="R207" s="132"/>
      <c r="S207" s="206"/>
      <c r="T207" s="64" t="s">
        <v>35</v>
      </c>
      <c r="U207" s="64">
        <f>COUNTIF(D195:D214,"잡")</f>
        <v>0</v>
      </c>
      <c r="V207" s="65">
        <f>COUNTIF(I195:I214,"잡")</f>
        <v>0</v>
      </c>
      <c r="W207" s="64" t="s">
        <v>26</v>
      </c>
      <c r="X207" s="64">
        <f>SUMIF(D195:D214,"잡",F195:F214)</f>
        <v>0</v>
      </c>
      <c r="Y207" s="65">
        <f>SUMIF(I195:I214,"잡",K195:K214)</f>
        <v>0</v>
      </c>
      <c r="Z207" s="64">
        <f>COUNTIF(AJ195:AJ214,"잡국")+COUNTIF(AJ195:AJ214,"잡공")</f>
        <v>0</v>
      </c>
      <c r="AA207" s="65">
        <f>COUNTIF(AK195:AK214,"잡국")+COUNTIF(AK195:AK214,"잡공")</f>
        <v>0</v>
      </c>
      <c r="AB207" s="64" t="s">
        <v>26</v>
      </c>
      <c r="AC207" s="64">
        <f>SUMIF(AJ195:AJ214,"잡국",F195:F214)+SUMIF(AJ195:AJ214,"잡공",F195:F214)</f>
        <v>0</v>
      </c>
      <c r="AD207" s="65">
        <f>SUMIF(AK195:AK214,"잡국",K195:K214)+SUMIF(AK195:AK214,"잡공",K195:K214)</f>
        <v>0</v>
      </c>
      <c r="AE207" s="64">
        <f t="shared" si="39"/>
        <v>0</v>
      </c>
      <c r="AF207" s="65">
        <f t="shared" si="39"/>
        <v>0</v>
      </c>
      <c r="AG207" s="64" t="s">
        <v>26</v>
      </c>
      <c r="AH207" s="64">
        <f t="shared" si="40"/>
        <v>0</v>
      </c>
      <c r="AI207" s="65">
        <f t="shared" si="40"/>
        <v>0</v>
      </c>
      <c r="AJ207" s="64" t="str">
        <f t="shared" si="41"/>
        <v/>
      </c>
      <c r="AK207" s="64" t="str">
        <f t="shared" si="42"/>
        <v/>
      </c>
      <c r="AL207" s="66"/>
      <c r="AM207" s="66"/>
    </row>
    <row r="208" spans="1:39" s="67" customFormat="1" ht="24" customHeight="1" x14ac:dyDescent="0.15">
      <c r="A208" s="299">
        <v>194</v>
      </c>
      <c r="B208" s="222"/>
      <c r="C208" s="132"/>
      <c r="D208" s="274"/>
      <c r="E208" s="230"/>
      <c r="F208" s="265"/>
      <c r="G208" s="224"/>
      <c r="H208" s="267"/>
      <c r="I208" s="275"/>
      <c r="J208" s="231"/>
      <c r="K208" s="269"/>
      <c r="L208" s="128"/>
      <c r="M208" s="137"/>
      <c r="N208" s="425"/>
      <c r="O208" s="425"/>
      <c r="P208" s="132"/>
      <c r="Q208" s="132"/>
      <c r="R208" s="132"/>
      <c r="S208" s="206"/>
      <c r="T208" s="64" t="s">
        <v>195</v>
      </c>
      <c r="U208" s="64">
        <f>COUNTIF(D195:D214,"창")</f>
        <v>0</v>
      </c>
      <c r="V208" s="65">
        <f>COUNTIF(I195:I214,"창")</f>
        <v>0</v>
      </c>
      <c r="W208" s="64" t="s">
        <v>26</v>
      </c>
      <c r="X208" s="64">
        <f>SUMIF(D195:D214,"창",F195:F214)</f>
        <v>0</v>
      </c>
      <c r="Y208" s="65">
        <f>SUMIF(I195:I214,"창",K195:K214)</f>
        <v>0</v>
      </c>
      <c r="Z208" s="64">
        <f>COUNTIF(AJ195:AJ214,"창국")+COUNTIF(AJ195:AJ214,"창공")</f>
        <v>0</v>
      </c>
      <c r="AA208" s="65">
        <f>COUNTIF(AK195:AK214,"창국")+COUNTIF(AK195:AK214,"창공")</f>
        <v>0</v>
      </c>
      <c r="AB208" s="64" t="s">
        <v>26</v>
      </c>
      <c r="AC208" s="64">
        <f>SUMIF(AJ195:AJ214,"창국",F195:F214)+SUMIF(AJ195:AJ214,"창공",F195:F214)</f>
        <v>0</v>
      </c>
      <c r="AD208" s="65">
        <f>SUMIF(AK195:AK214,"창국",K195:K214)+SUMIF(AK195:AK214,"창공",K195:K214)</f>
        <v>0</v>
      </c>
      <c r="AE208" s="64">
        <f t="shared" si="39"/>
        <v>0</v>
      </c>
      <c r="AF208" s="65">
        <f t="shared" si="39"/>
        <v>0</v>
      </c>
      <c r="AG208" s="64" t="s">
        <v>26</v>
      </c>
      <c r="AH208" s="64">
        <f t="shared" si="40"/>
        <v>0</v>
      </c>
      <c r="AI208" s="65">
        <f t="shared" si="40"/>
        <v>0</v>
      </c>
      <c r="AJ208" s="64" t="str">
        <f t="shared" si="41"/>
        <v/>
      </c>
      <c r="AK208" s="64" t="str">
        <f t="shared" si="42"/>
        <v/>
      </c>
      <c r="AL208" s="66"/>
      <c r="AM208" s="66"/>
    </row>
    <row r="209" spans="1:39" s="67" customFormat="1" ht="24" customHeight="1" x14ac:dyDescent="0.15">
      <c r="A209" s="299">
        <v>195</v>
      </c>
      <c r="B209" s="222"/>
      <c r="C209" s="136"/>
      <c r="D209" s="133"/>
      <c r="E209" s="265"/>
      <c r="F209" s="265"/>
      <c r="G209" s="266"/>
      <c r="H209" s="232"/>
      <c r="I209" s="233"/>
      <c r="J209" s="269"/>
      <c r="K209" s="269"/>
      <c r="L209" s="128"/>
      <c r="M209" s="128"/>
      <c r="N209" s="425"/>
      <c r="O209" s="425"/>
      <c r="P209" s="132"/>
      <c r="Q209" s="132"/>
      <c r="R209" s="132"/>
      <c r="S209" s="264"/>
      <c r="T209" s="64" t="s">
        <v>194</v>
      </c>
      <c r="U209" s="64">
        <f>COUNTIF(D195:D214,"장")</f>
        <v>0</v>
      </c>
      <c r="V209" s="65">
        <f>COUNTIF(I195:I214,"장")</f>
        <v>0</v>
      </c>
      <c r="W209" s="64" t="s">
        <v>26</v>
      </c>
      <c r="X209" s="64">
        <f>SUMIF(D195:D214,"장",F195:F214)</f>
        <v>0</v>
      </c>
      <c r="Y209" s="65">
        <f>SUMIF(I195:I214,"장",K195:K214)</f>
        <v>0</v>
      </c>
      <c r="Z209" s="64">
        <f>COUNTIF(AJ195:AJ214,"장국")+COUNTIF(AJ195:AJ214,"장장")</f>
        <v>0</v>
      </c>
      <c r="AA209" s="65">
        <f>COUNTIF(AK195:AK214,"장국")+COUNTIF(AK195:AK214,"장장")</f>
        <v>0</v>
      </c>
      <c r="AB209" s="64" t="s">
        <v>26</v>
      </c>
      <c r="AC209" s="64">
        <f>SUMIF(AJ195:AJ214,"장국",F195:F214)+SUMIF(AJ195:AJ214,"장장",F195:F214)</f>
        <v>0</v>
      </c>
      <c r="AD209" s="65">
        <f>SUMIF(AK195:AK214,"장국",K195:K214)+SUMIF(AK195:AK214,"장장",K195:K214)</f>
        <v>0</v>
      </c>
      <c r="AE209" s="64">
        <f t="shared" si="39"/>
        <v>0</v>
      </c>
      <c r="AF209" s="65">
        <f t="shared" si="39"/>
        <v>0</v>
      </c>
      <c r="AG209" s="64" t="s">
        <v>26</v>
      </c>
      <c r="AH209" s="64">
        <f t="shared" si="40"/>
        <v>0</v>
      </c>
      <c r="AI209" s="65">
        <f t="shared" si="40"/>
        <v>0</v>
      </c>
      <c r="AJ209" s="64" t="str">
        <f t="shared" si="41"/>
        <v/>
      </c>
      <c r="AK209" s="64" t="str">
        <f t="shared" si="42"/>
        <v/>
      </c>
      <c r="AL209" s="66"/>
      <c r="AM209" s="66"/>
    </row>
    <row r="210" spans="1:39" s="67" customFormat="1" ht="24" customHeight="1" x14ac:dyDescent="0.15">
      <c r="A210" s="299">
        <v>196</v>
      </c>
      <c r="B210" s="222"/>
      <c r="C210" s="136"/>
      <c r="D210" s="133"/>
      <c r="E210" s="230"/>
      <c r="F210" s="230"/>
      <c r="G210" s="224"/>
      <c r="H210" s="232"/>
      <c r="I210" s="233"/>
      <c r="J210" s="231"/>
      <c r="K210" s="231"/>
      <c r="L210" s="155"/>
      <c r="M210" s="156"/>
      <c r="N210" s="439"/>
      <c r="O210" s="439"/>
      <c r="P210" s="102"/>
      <c r="Q210" s="138"/>
      <c r="R210" s="132"/>
      <c r="S210" s="264"/>
      <c r="T210" s="70" t="s">
        <v>193</v>
      </c>
      <c r="U210" s="64">
        <f>COUNTIF(D195:D214,"학")</f>
        <v>0</v>
      </c>
      <c r="V210" s="65">
        <f>COUNTIF(I195:I214,"학")</f>
        <v>0</v>
      </c>
      <c r="W210" s="64" t="s">
        <v>26</v>
      </c>
      <c r="X210" s="64">
        <f>SUMIF(D195:D214,"학",F195:F214)</f>
        <v>0</v>
      </c>
      <c r="Y210" s="65">
        <f>SUMIF(I195:I214,"학",K195:K214)</f>
        <v>0</v>
      </c>
      <c r="Z210" s="64">
        <f>COUNTIF(AJ195:AJ214,"학국")+COUNTIF(AJ195:AJ214,"학공")</f>
        <v>0</v>
      </c>
      <c r="AA210" s="65">
        <f>COUNTIF(AK195:AK214,"학국")+COUNTIF(AK195:AK214,"학공")</f>
        <v>0</v>
      </c>
      <c r="AB210" s="64" t="s">
        <v>26</v>
      </c>
      <c r="AC210" s="64">
        <f>SUMIF(AJ195:AJ214,"학국",F195:F214)+SUMIF(AJ195:AJ214,"학공",F195:F214)</f>
        <v>0</v>
      </c>
      <c r="AD210" s="65">
        <f>SUMIF(AK195:AK214,"학국",K195:K214)+SUMIF(AK195:AK214,"학공",K195:K214)</f>
        <v>0</v>
      </c>
      <c r="AE210" s="64">
        <f t="shared" si="39"/>
        <v>0</v>
      </c>
      <c r="AF210" s="65">
        <f t="shared" si="39"/>
        <v>0</v>
      </c>
      <c r="AG210" s="64" t="s">
        <v>26</v>
      </c>
      <c r="AH210" s="64">
        <f t="shared" si="40"/>
        <v>0</v>
      </c>
      <c r="AI210" s="65">
        <f t="shared" si="40"/>
        <v>0</v>
      </c>
      <c r="AJ210" s="64" t="str">
        <f t="shared" si="41"/>
        <v/>
      </c>
      <c r="AK210" s="64" t="str">
        <f t="shared" si="42"/>
        <v/>
      </c>
      <c r="AL210" s="66"/>
      <c r="AM210" s="66"/>
    </row>
    <row r="211" spans="1:39" s="67" customFormat="1" ht="24" customHeight="1" x14ac:dyDescent="0.15">
      <c r="A211" s="299">
        <v>197</v>
      </c>
      <c r="B211" s="222"/>
      <c r="C211" s="315"/>
      <c r="D211" s="222"/>
      <c r="E211" s="265"/>
      <c r="F211" s="265"/>
      <c r="G211" s="266"/>
      <c r="H211" s="316"/>
      <c r="I211" s="226"/>
      <c r="J211" s="269"/>
      <c r="K211" s="269"/>
      <c r="L211" s="155"/>
      <c r="M211" s="156"/>
      <c r="N211" s="439"/>
      <c r="O211" s="439"/>
      <c r="P211" s="121"/>
      <c r="Q211" s="121"/>
      <c r="R211" s="121"/>
      <c r="S211" s="206"/>
      <c r="T211" s="70" t="s">
        <v>79</v>
      </c>
      <c r="U211" s="64">
        <f>COUNTIF(D195:D214,"목")</f>
        <v>0</v>
      </c>
      <c r="V211" s="65">
        <f>COUNTIF(I195:I214,"목")</f>
        <v>0</v>
      </c>
      <c r="W211" s="64" t="s">
        <v>26</v>
      </c>
      <c r="X211" s="64">
        <f>SUMIF(D195:D214,"목",F195:F214)</f>
        <v>0</v>
      </c>
      <c r="Y211" s="65">
        <f>SUMIF(I195:I214,"목",K195:K214)</f>
        <v>0</v>
      </c>
      <c r="Z211" s="64">
        <f>COUNTIF(AJ195:AJ214,"목국")+COUNTIF(AJ195:AJ214,"목공")</f>
        <v>0</v>
      </c>
      <c r="AA211" s="65">
        <f>COUNTIF(AK195:AK214,"목국")+COUNTIF(AK195:AK214,"목공")</f>
        <v>0</v>
      </c>
      <c r="AB211" s="64" t="s">
        <v>26</v>
      </c>
      <c r="AC211" s="64">
        <f>SUMIF(AJ195:AJ214,"목국",F195:F214)+SUMIF(AJ195:AJ214,"목공",F195:F214)</f>
        <v>0</v>
      </c>
      <c r="AD211" s="65">
        <f>SUMIF(AK195:AK214,"목국",K195:K214)+SUMIF(AK195:AK214,"목공",K195:K214)</f>
        <v>0</v>
      </c>
      <c r="AE211" s="64">
        <f t="shared" si="39"/>
        <v>0</v>
      </c>
      <c r="AF211" s="65">
        <f t="shared" si="39"/>
        <v>0</v>
      </c>
      <c r="AG211" s="64" t="s">
        <v>26</v>
      </c>
      <c r="AH211" s="64">
        <f t="shared" si="40"/>
        <v>0</v>
      </c>
      <c r="AI211" s="65">
        <f t="shared" si="40"/>
        <v>0</v>
      </c>
      <c r="AJ211" s="64" t="str">
        <f t="shared" si="41"/>
        <v/>
      </c>
      <c r="AK211" s="64" t="str">
        <f t="shared" si="42"/>
        <v/>
      </c>
      <c r="AL211" s="66"/>
      <c r="AM211" s="66"/>
    </row>
    <row r="212" spans="1:39" s="67" customFormat="1" ht="24" customHeight="1" x14ac:dyDescent="0.15">
      <c r="A212" s="299">
        <v>198</v>
      </c>
      <c r="B212" s="222"/>
      <c r="C212" s="136"/>
      <c r="D212" s="133"/>
      <c r="E212" s="135"/>
      <c r="F212" s="135"/>
      <c r="G212" s="224"/>
      <c r="H212" s="232"/>
      <c r="I212" s="233"/>
      <c r="J212" s="227"/>
      <c r="K212" s="227"/>
      <c r="L212" s="155"/>
      <c r="M212" s="155"/>
      <c r="N212" s="439"/>
      <c r="O212" s="439"/>
      <c r="P212" s="132"/>
      <c r="Q212" s="132"/>
      <c r="R212" s="102"/>
      <c r="S212" s="264"/>
      <c r="T212" s="70"/>
      <c r="U212" s="70"/>
      <c r="V212" s="71"/>
      <c r="W212" s="70"/>
      <c r="X212" s="70"/>
      <c r="Y212" s="71"/>
      <c r="Z212" s="64"/>
      <c r="AA212" s="65"/>
      <c r="AB212" s="70"/>
      <c r="AC212" s="64"/>
      <c r="AD212" s="65"/>
      <c r="AE212" s="70"/>
      <c r="AF212" s="71"/>
      <c r="AG212" s="70"/>
      <c r="AH212" s="70"/>
      <c r="AI212" s="71"/>
      <c r="AJ212" s="64" t="str">
        <f t="shared" si="41"/>
        <v/>
      </c>
      <c r="AK212" s="64" t="str">
        <f t="shared" si="42"/>
        <v/>
      </c>
      <c r="AL212" s="66"/>
      <c r="AM212" s="66"/>
    </row>
    <row r="213" spans="1:39" s="67" customFormat="1" ht="24" customHeight="1" x14ac:dyDescent="0.15">
      <c r="A213" s="299">
        <v>199</v>
      </c>
      <c r="B213" s="222"/>
      <c r="C213" s="136"/>
      <c r="D213" s="133"/>
      <c r="E213" s="135"/>
      <c r="F213" s="135"/>
      <c r="G213" s="224"/>
      <c r="H213" s="232"/>
      <c r="I213" s="233"/>
      <c r="J213" s="227"/>
      <c r="K213" s="227"/>
      <c r="L213" s="155"/>
      <c r="M213" s="156"/>
      <c r="N213" s="439"/>
      <c r="O213" s="439"/>
      <c r="P213" s="132"/>
      <c r="Q213" s="132"/>
      <c r="R213" s="132"/>
      <c r="S213" s="264"/>
      <c r="T213" s="70"/>
      <c r="U213" s="70"/>
      <c r="V213" s="71"/>
      <c r="W213" s="70"/>
      <c r="X213" s="70"/>
      <c r="Y213" s="71"/>
      <c r="Z213" s="64"/>
      <c r="AA213" s="65"/>
      <c r="AB213" s="70"/>
      <c r="AC213" s="64"/>
      <c r="AD213" s="65"/>
      <c r="AE213" s="70"/>
      <c r="AF213" s="71"/>
      <c r="AG213" s="70"/>
      <c r="AH213" s="70"/>
      <c r="AI213" s="71"/>
      <c r="AJ213" s="64" t="str">
        <f t="shared" si="41"/>
        <v/>
      </c>
      <c r="AK213" s="64" t="str">
        <f t="shared" si="42"/>
        <v/>
      </c>
      <c r="AL213" s="66"/>
      <c r="AM213" s="66"/>
    </row>
    <row r="214" spans="1:39" s="67" customFormat="1" ht="24" customHeight="1" x14ac:dyDescent="0.15">
      <c r="A214" s="299">
        <v>200</v>
      </c>
      <c r="B214" s="222"/>
      <c r="C214" s="136"/>
      <c r="D214" s="133"/>
      <c r="E214" s="135"/>
      <c r="F214" s="135"/>
      <c r="G214" s="224"/>
      <c r="H214" s="232"/>
      <c r="I214" s="233"/>
      <c r="J214" s="227"/>
      <c r="K214" s="227"/>
      <c r="L214" s="155"/>
      <c r="M214" s="155"/>
      <c r="N214" s="439"/>
      <c r="O214" s="439"/>
      <c r="P214" s="132"/>
      <c r="Q214" s="132"/>
      <c r="R214" s="132"/>
      <c r="S214" s="206"/>
      <c r="T214" s="72" t="s">
        <v>37</v>
      </c>
      <c r="U214" s="72">
        <f>COUNTIF(D195:D214,"철")</f>
        <v>0</v>
      </c>
      <c r="V214" s="73">
        <f>COUNTIF(I195:I214,"철")</f>
        <v>0</v>
      </c>
      <c r="W214" s="72" t="s">
        <v>26</v>
      </c>
      <c r="X214" s="72">
        <f>SUMIF(D195:D214,"철",F195:F214)</f>
        <v>0</v>
      </c>
      <c r="Y214" s="73">
        <f>SUMIF(I195:I214,"철",K195:K214)</f>
        <v>0</v>
      </c>
      <c r="Z214" s="64">
        <f>COUNTIF(AJ195:AJ214,"철국")+COUNTIF(AJ195:AJ214,"철공")</f>
        <v>0</v>
      </c>
      <c r="AA214" s="65">
        <f>COUNTIF(AK195:AK214,"철국")+COUNTIF(AK195:AK214,"철공")</f>
        <v>0</v>
      </c>
      <c r="AB214" s="72" t="s">
        <v>26</v>
      </c>
      <c r="AC214" s="64">
        <f>SUMIF(AJ195:AJ214,"철국",F195:F214)+SUMIF(AJ195:AJ214,"철공",F195:F214)</f>
        <v>0</v>
      </c>
      <c r="AD214" s="65">
        <f>SUMIF(AK195:AK214,"철국",K195:K214)+SUMIF(AK195:AK214,"철공",K195:K214)</f>
        <v>0</v>
      </c>
      <c r="AE214" s="72"/>
      <c r="AF214" s="73"/>
      <c r="AG214" s="72"/>
      <c r="AH214" s="72"/>
      <c r="AI214" s="73"/>
      <c r="AJ214" s="64" t="str">
        <f t="shared" si="41"/>
        <v/>
      </c>
      <c r="AK214" s="64" t="str">
        <f t="shared" si="42"/>
        <v/>
      </c>
      <c r="AL214" s="66"/>
      <c r="AM214" s="66"/>
    </row>
    <row r="215" spans="1:39" s="67" customFormat="1" ht="24" customHeight="1" thickBot="1" x14ac:dyDescent="0.2">
      <c r="A215" s="147" t="s">
        <v>48</v>
      </c>
      <c r="B215" s="148"/>
      <c r="C215" s="178"/>
      <c r="D215" s="178"/>
      <c r="E215" s="293"/>
      <c r="F215" s="294">
        <f>SUM(F195:F214)</f>
        <v>0</v>
      </c>
      <c r="G215" s="295"/>
      <c r="H215" s="295"/>
      <c r="I215" s="296"/>
      <c r="J215" s="297"/>
      <c r="K215" s="311">
        <f>SUM(K195:K214)</f>
        <v>0</v>
      </c>
      <c r="L215" s="150"/>
      <c r="M215" s="150"/>
      <c r="N215" s="432"/>
      <c r="O215" s="432"/>
      <c r="P215" s="150"/>
      <c r="Q215" s="150"/>
      <c r="R215" s="150"/>
      <c r="S215" s="151"/>
      <c r="T215" s="62" t="s">
        <v>24</v>
      </c>
      <c r="U215" s="63">
        <f t="shared" ref="U215:AA215" si="43">SUM(U195:U214)</f>
        <v>0</v>
      </c>
      <c r="V215" s="63">
        <f t="shared" si="43"/>
        <v>0</v>
      </c>
      <c r="W215" s="63">
        <f t="shared" si="43"/>
        <v>0</v>
      </c>
      <c r="X215" s="63">
        <f t="shared" si="43"/>
        <v>0</v>
      </c>
      <c r="Y215" s="63">
        <f t="shared" si="43"/>
        <v>0</v>
      </c>
      <c r="Z215" s="277">
        <f t="shared" si="43"/>
        <v>0</v>
      </c>
      <c r="AA215" s="278">
        <f t="shared" si="43"/>
        <v>0</v>
      </c>
      <c r="AB215" s="277" t="s">
        <v>26</v>
      </c>
      <c r="AC215" s="277">
        <f>SUM(AC195:AC214)</f>
        <v>0</v>
      </c>
      <c r="AD215" s="278">
        <f>SUM(AD195:AD214)</f>
        <v>0</v>
      </c>
      <c r="AE215" s="63">
        <f>SUM(AE195:AE214)</f>
        <v>0</v>
      </c>
      <c r="AF215" s="63">
        <f>SUM(AF195:AF214)</f>
        <v>0</v>
      </c>
      <c r="AG215" s="63" t="s">
        <v>26</v>
      </c>
      <c r="AH215" s="63">
        <f>SUM(AH195:AH214)</f>
        <v>0</v>
      </c>
      <c r="AI215" s="63">
        <f>SUM(AI195:AI214)</f>
        <v>0</v>
      </c>
      <c r="AJ215" s="63"/>
      <c r="AK215" s="64" t="str">
        <f t="shared" si="42"/>
        <v/>
      </c>
      <c r="AL215" s="66"/>
      <c r="AM215" s="66"/>
    </row>
    <row r="216" spans="1:39" s="67" customFormat="1" ht="24" customHeight="1" x14ac:dyDescent="0.15">
      <c r="A216" s="312">
        <v>201</v>
      </c>
      <c r="B216" s="215"/>
      <c r="C216" s="317"/>
      <c r="D216" s="318"/>
      <c r="E216" s="280"/>
      <c r="F216" s="280"/>
      <c r="G216" s="281"/>
      <c r="H216" s="319"/>
      <c r="I216" s="320"/>
      <c r="J216" s="284"/>
      <c r="K216" s="284"/>
      <c r="L216" s="321"/>
      <c r="M216" s="482"/>
      <c r="N216" s="454"/>
      <c r="O216" s="452"/>
      <c r="P216" s="387"/>
      <c r="Q216" s="215"/>
      <c r="R216" s="215"/>
      <c r="S216" s="285"/>
      <c r="T216" s="64" t="s">
        <v>27</v>
      </c>
      <c r="U216" s="64">
        <f>COUNTIF(D216:D235,"전")</f>
        <v>0</v>
      </c>
      <c r="V216" s="65">
        <f>COUNTIF(I216:I235,"전")</f>
        <v>0</v>
      </c>
      <c r="W216" s="64" t="s">
        <v>26</v>
      </c>
      <c r="X216" s="64">
        <f>SUMIF(D216:D235,"전",F216:F235)</f>
        <v>0</v>
      </c>
      <c r="Y216" s="65">
        <f>SUMIF(I216:I235,"전",K216:K235)</f>
        <v>0</v>
      </c>
      <c r="Z216" s="64">
        <f>COUNTIF(AJ216:AJ235,"전국")+COUNTIF(AJ216:AJ235,"전공")</f>
        <v>0</v>
      </c>
      <c r="AA216" s="65">
        <f>COUNTIF(AK216:AK235,"전국")+COUNTIF(AK216:AK235,"전공")</f>
        <v>0</v>
      </c>
      <c r="AB216" s="64" t="s">
        <v>26</v>
      </c>
      <c r="AC216" s="64">
        <f>SUMIF(AJ216:AJ235,"전국",F216:F235)+SUMIF(AJ216:AJ235,"전공",F216:F235)</f>
        <v>0</v>
      </c>
      <c r="AD216" s="65">
        <f>SUMIF(AK216:AK235,"전국",K216:K235)+SUMIF(AK216:AK235,"전공",K216:K235)</f>
        <v>0</v>
      </c>
      <c r="AE216" s="64">
        <f t="shared" ref="AE216:AF232" si="44">U216-Z216</f>
        <v>0</v>
      </c>
      <c r="AF216" s="65">
        <f t="shared" si="44"/>
        <v>0</v>
      </c>
      <c r="AG216" s="64" t="s">
        <v>26</v>
      </c>
      <c r="AH216" s="64">
        <f t="shared" ref="AH216:AI232" si="45">X216-AC216</f>
        <v>0</v>
      </c>
      <c r="AI216" s="65">
        <f t="shared" si="45"/>
        <v>0</v>
      </c>
      <c r="AJ216" s="64" t="str">
        <f t="shared" ref="AJ216:AJ235" si="46">CONCATENATE(D216,L216)</f>
        <v/>
      </c>
      <c r="AK216" s="64" t="str">
        <f t="shared" si="42"/>
        <v/>
      </c>
      <c r="AL216" s="66"/>
      <c r="AM216" s="66"/>
    </row>
    <row r="217" spans="1:39" s="67" customFormat="1" ht="24" customHeight="1" x14ac:dyDescent="0.15">
      <c r="A217" s="299">
        <v>202</v>
      </c>
      <c r="B217" s="222"/>
      <c r="C217" s="315"/>
      <c r="D217" s="222"/>
      <c r="E217" s="265"/>
      <c r="F217" s="265"/>
      <c r="G217" s="266"/>
      <c r="H217" s="316"/>
      <c r="I217" s="226"/>
      <c r="J217" s="269"/>
      <c r="K217" s="269"/>
      <c r="L217" s="314"/>
      <c r="M217" s="481"/>
      <c r="N217" s="453"/>
      <c r="O217" s="450"/>
      <c r="P217" s="121"/>
      <c r="Q217" s="132"/>
      <c r="R217" s="132"/>
      <c r="S217" s="264"/>
      <c r="T217" s="64" t="s">
        <v>28</v>
      </c>
      <c r="U217" s="64">
        <f>COUNTIF(D216:D235,"답")</f>
        <v>0</v>
      </c>
      <c r="V217" s="65">
        <f>COUNTIF(I216:I235,"답")</f>
        <v>0</v>
      </c>
      <c r="W217" s="64" t="s">
        <v>26</v>
      </c>
      <c r="X217" s="64">
        <f>SUMIF(D216:D235,"답",F216:F235)</f>
        <v>0</v>
      </c>
      <c r="Y217" s="65">
        <f>SUMIF(I216:I235,"답",K216:K235)</f>
        <v>0</v>
      </c>
      <c r="Z217" s="64">
        <f>COUNTIF(AJ216:AJ235,"답국")+COUNTIF(AJ216:AJ235,"답공")</f>
        <v>0</v>
      </c>
      <c r="AA217" s="65">
        <f>COUNTIF(AK216:AK235,"답국")+COUNTIF(AK216:AK235,"답공")</f>
        <v>0</v>
      </c>
      <c r="AB217" s="64" t="s">
        <v>26</v>
      </c>
      <c r="AC217" s="64">
        <f>SUMIF(AJ216:AJ235,"답국",F216:F235)+SUMIF(AJ216:AJ235,"답공",F216:F235)</f>
        <v>0</v>
      </c>
      <c r="AD217" s="65">
        <f>SUMIF(AK216:AK235,"답국",K216:K235)+SUMIF(AK216:AK235,"답공",K216:K235)</f>
        <v>0</v>
      </c>
      <c r="AE217" s="64">
        <f t="shared" si="44"/>
        <v>0</v>
      </c>
      <c r="AF217" s="65">
        <f t="shared" si="44"/>
        <v>0</v>
      </c>
      <c r="AG217" s="64" t="s">
        <v>26</v>
      </c>
      <c r="AH217" s="64">
        <f t="shared" si="45"/>
        <v>0</v>
      </c>
      <c r="AI217" s="65">
        <f t="shared" si="45"/>
        <v>0</v>
      </c>
      <c r="AJ217" s="64" t="str">
        <f t="shared" si="46"/>
        <v/>
      </c>
      <c r="AK217" s="64" t="str">
        <f t="shared" si="42"/>
        <v/>
      </c>
      <c r="AL217" s="66"/>
      <c r="AM217" s="66"/>
    </row>
    <row r="218" spans="1:39" s="67" customFormat="1" ht="24" customHeight="1" x14ac:dyDescent="0.15">
      <c r="A218" s="299">
        <v>203</v>
      </c>
      <c r="B218" s="222"/>
      <c r="C218" s="136"/>
      <c r="D218" s="133"/>
      <c r="E218" s="290"/>
      <c r="F218" s="135"/>
      <c r="G218" s="291"/>
      <c r="H218" s="232"/>
      <c r="I218" s="233"/>
      <c r="J218" s="292"/>
      <c r="K218" s="227"/>
      <c r="L218" s="314"/>
      <c r="M218" s="481"/>
      <c r="N218" s="453"/>
      <c r="O218" s="450"/>
      <c r="P218" s="132"/>
      <c r="Q218" s="322"/>
      <c r="R218" s="121"/>
      <c r="S218" s="264"/>
      <c r="T218" s="64" t="s">
        <v>44</v>
      </c>
      <c r="U218" s="64">
        <f>COUNTIF(D216:D235,"임")</f>
        <v>0</v>
      </c>
      <c r="V218" s="65">
        <f>COUNTIF(I216:I235,"임")</f>
        <v>0</v>
      </c>
      <c r="W218" s="64" t="s">
        <v>26</v>
      </c>
      <c r="X218" s="64">
        <f>SUMIF(D216:D235,"임",F216:F235)</f>
        <v>0</v>
      </c>
      <c r="Y218" s="65">
        <f>SUMIF(I216:I235,"임",K216:K235)</f>
        <v>0</v>
      </c>
      <c r="Z218" s="64">
        <f>COUNTIF(AJ216:AJ235,"임국")+COUNTIF(AJ216:AJ235,"임공")</f>
        <v>0</v>
      </c>
      <c r="AA218" s="65">
        <f>COUNTIF(AK216:AK235,"임국")+COUNTIF(AK216:AK235,"임공")</f>
        <v>0</v>
      </c>
      <c r="AB218" s="64" t="s">
        <v>26</v>
      </c>
      <c r="AC218" s="64">
        <f>SUMIF(AJ216:AJ235,"임국",F216:F235)+SUMIF(AJ216:AJ235,"임공",F216:F235)</f>
        <v>0</v>
      </c>
      <c r="AD218" s="65">
        <f>SUMIF(AK216:AK235,"임국",K216:K235)+SUMIF(AK216:AK235,"임공",K216:K235)</f>
        <v>0</v>
      </c>
      <c r="AE218" s="64">
        <f t="shared" si="44"/>
        <v>0</v>
      </c>
      <c r="AF218" s="65">
        <f t="shared" si="44"/>
        <v>0</v>
      </c>
      <c r="AG218" s="64" t="s">
        <v>26</v>
      </c>
      <c r="AH218" s="64">
        <f t="shared" si="45"/>
        <v>0</v>
      </c>
      <c r="AI218" s="65">
        <f t="shared" si="45"/>
        <v>0</v>
      </c>
      <c r="AJ218" s="64" t="str">
        <f t="shared" si="46"/>
        <v/>
      </c>
      <c r="AK218" s="64" t="str">
        <f t="shared" si="42"/>
        <v/>
      </c>
      <c r="AL218" s="66"/>
      <c r="AM218" s="66"/>
    </row>
    <row r="219" spans="1:39" s="67" customFormat="1" ht="24" customHeight="1" x14ac:dyDescent="0.15">
      <c r="A219" s="299">
        <v>204</v>
      </c>
      <c r="B219" s="222"/>
      <c r="C219" s="315"/>
      <c r="D219" s="222"/>
      <c r="E219" s="265"/>
      <c r="F219" s="265"/>
      <c r="G219" s="266"/>
      <c r="H219" s="316"/>
      <c r="I219" s="226"/>
      <c r="J219" s="269"/>
      <c r="K219" s="269"/>
      <c r="L219" s="314"/>
      <c r="M219" s="298"/>
      <c r="N219" s="453"/>
      <c r="O219" s="450"/>
      <c r="P219" s="121"/>
      <c r="Q219" s="322"/>
      <c r="R219" s="121"/>
      <c r="S219" s="264"/>
      <c r="T219" s="64" t="s">
        <v>45</v>
      </c>
      <c r="U219" s="64">
        <f>COUNTIF(D216:D235,"대")</f>
        <v>0</v>
      </c>
      <c r="V219" s="65">
        <f>COUNTIF(I216:I235,"대")</f>
        <v>0</v>
      </c>
      <c r="W219" s="64" t="s">
        <v>26</v>
      </c>
      <c r="X219" s="64">
        <f>SUMIF(D216:D235,"대",F216:F235)</f>
        <v>0</v>
      </c>
      <c r="Y219" s="65">
        <f>SUMIF(I216:I235,"대",K216:K235)</f>
        <v>0</v>
      </c>
      <c r="Z219" s="64">
        <f>COUNTIF(AJ216:AJ235,"대국")+COUNTIF(AJ216:AJ235,"대공")</f>
        <v>0</v>
      </c>
      <c r="AA219" s="65">
        <f>COUNTIF(AK216:AK235,"대국")+COUNTIF(AK216:AK235,"대공")</f>
        <v>0</v>
      </c>
      <c r="AB219" s="64" t="s">
        <v>26</v>
      </c>
      <c r="AC219" s="64">
        <f>SUMIF(AJ216:AJ235,"대국",F216:F235)+SUMIF(AJ216:AJ235,"대공",F216:F235)</f>
        <v>0</v>
      </c>
      <c r="AD219" s="65">
        <f>SUMIF(AK216:AK235,"대국",K216:K235)+SUMIF(AK216:AK235,"대공",K216:K235)</f>
        <v>0</v>
      </c>
      <c r="AE219" s="64">
        <f t="shared" si="44"/>
        <v>0</v>
      </c>
      <c r="AF219" s="65">
        <f t="shared" si="44"/>
        <v>0</v>
      </c>
      <c r="AG219" s="64" t="s">
        <v>26</v>
      </c>
      <c r="AH219" s="64">
        <f t="shared" si="45"/>
        <v>0</v>
      </c>
      <c r="AI219" s="65">
        <f t="shared" si="45"/>
        <v>0</v>
      </c>
      <c r="AJ219" s="64" t="str">
        <f t="shared" si="46"/>
        <v/>
      </c>
      <c r="AK219" s="64" t="str">
        <f t="shared" si="42"/>
        <v/>
      </c>
      <c r="AL219" s="66"/>
      <c r="AM219" s="66"/>
    </row>
    <row r="220" spans="1:39" s="67" customFormat="1" ht="24" customHeight="1" x14ac:dyDescent="0.15">
      <c r="A220" s="299">
        <v>205</v>
      </c>
      <c r="B220" s="222"/>
      <c r="C220" s="315"/>
      <c r="D220" s="222"/>
      <c r="E220" s="265"/>
      <c r="F220" s="265"/>
      <c r="G220" s="266"/>
      <c r="H220" s="316"/>
      <c r="I220" s="226"/>
      <c r="J220" s="269"/>
      <c r="K220" s="269"/>
      <c r="L220" s="314"/>
      <c r="M220" s="298"/>
      <c r="N220" s="453"/>
      <c r="O220" s="450"/>
      <c r="P220" s="121"/>
      <c r="Q220" s="132"/>
      <c r="R220" s="132"/>
      <c r="S220" s="264"/>
      <c r="T220" s="64" t="s">
        <v>31</v>
      </c>
      <c r="U220" s="64">
        <f>COUNTIF(D216:D235,"도")</f>
        <v>0</v>
      </c>
      <c r="V220" s="65">
        <f>COUNTIF(I216:I235,"도")</f>
        <v>0</v>
      </c>
      <c r="W220" s="64" t="s">
        <v>26</v>
      </c>
      <c r="X220" s="64">
        <f>SUMIF(D216:D235,"도",F216:F235)</f>
        <v>0</v>
      </c>
      <c r="Y220" s="65">
        <f>SUMIF(I216:I235,"도",K216:K235)</f>
        <v>0</v>
      </c>
      <c r="Z220" s="64">
        <f>COUNTIF(AJ216:AJ235,"도국")+COUNTIF(AJ216:AJ235,"도공")</f>
        <v>0</v>
      </c>
      <c r="AA220" s="65">
        <f>COUNTIF(AK216:AK235,"도국")+COUNTIF(AK216:AK235,"도공")</f>
        <v>0</v>
      </c>
      <c r="AB220" s="64" t="s">
        <v>26</v>
      </c>
      <c r="AC220" s="64">
        <f>SUMIF(AJ216:AJ235,"도국",F216:F235)+SUMIF(AJ216:AJ235,"도공",F216:F235)</f>
        <v>0</v>
      </c>
      <c r="AD220" s="65">
        <f>SUMIF(AK216:AK235,"도국",K216:K235)+SUMIF(AK216:AK235,"도공",K216:K235)</f>
        <v>0</v>
      </c>
      <c r="AE220" s="64">
        <f t="shared" si="44"/>
        <v>0</v>
      </c>
      <c r="AF220" s="65">
        <f t="shared" si="44"/>
        <v>0</v>
      </c>
      <c r="AG220" s="64" t="s">
        <v>26</v>
      </c>
      <c r="AH220" s="64">
        <f t="shared" si="45"/>
        <v>0</v>
      </c>
      <c r="AI220" s="65">
        <f t="shared" si="45"/>
        <v>0</v>
      </c>
      <c r="AJ220" s="64" t="str">
        <f t="shared" si="46"/>
        <v/>
      </c>
      <c r="AK220" s="64" t="str">
        <f t="shared" si="42"/>
        <v/>
      </c>
      <c r="AL220" s="66"/>
      <c r="AM220" s="66"/>
    </row>
    <row r="221" spans="1:39" s="67" customFormat="1" ht="24" customHeight="1" x14ac:dyDescent="0.15">
      <c r="A221" s="299">
        <v>206</v>
      </c>
      <c r="B221" s="222"/>
      <c r="C221" s="315"/>
      <c r="D221" s="222"/>
      <c r="E221" s="135"/>
      <c r="F221" s="135"/>
      <c r="G221" s="224"/>
      <c r="H221" s="316"/>
      <c r="I221" s="226"/>
      <c r="J221" s="227"/>
      <c r="K221" s="227"/>
      <c r="L221" s="314"/>
      <c r="M221" s="298"/>
      <c r="N221" s="453"/>
      <c r="O221" s="450"/>
      <c r="P221" s="132"/>
      <c r="Q221" s="121"/>
      <c r="R221" s="121"/>
      <c r="S221" s="264"/>
      <c r="T221" s="64" t="s">
        <v>32</v>
      </c>
      <c r="U221" s="68">
        <f>COUNTIF(D216:D235,"천")</f>
        <v>0</v>
      </c>
      <c r="V221" s="69">
        <f>COUNTIF(I216:I235,"천")</f>
        <v>0</v>
      </c>
      <c r="W221" s="64" t="s">
        <v>26</v>
      </c>
      <c r="X221" s="64">
        <f>SUMIF(D216:D235,"천",F216:F235)</f>
        <v>0</v>
      </c>
      <c r="Y221" s="65">
        <f>SUMIF(I216:I235,"천",K216:K235)</f>
        <v>0</v>
      </c>
      <c r="Z221" s="64">
        <f>COUNTIF(AJ216:AJ235,"천국")+COUNTIF(AJ216:AJ235,"천공")</f>
        <v>0</v>
      </c>
      <c r="AA221" s="65">
        <f>COUNTIF(AK216:AK235,"천국")+COUNTIF(AK216:AK235,"천공")</f>
        <v>0</v>
      </c>
      <c r="AB221" s="64" t="s">
        <v>26</v>
      </c>
      <c r="AC221" s="64">
        <f>SUMIF(AJ216:AJ235,"천국",F216:F235)+SUMIF(AJ216:AJ235,"천공",F216:F235)</f>
        <v>0</v>
      </c>
      <c r="AD221" s="65">
        <f>SUMIF(AK216:AK235,"천국",K216:K235)+SUMIF(AK216:AK235,"천공",K216:K235)</f>
        <v>0</v>
      </c>
      <c r="AE221" s="64">
        <f t="shared" si="44"/>
        <v>0</v>
      </c>
      <c r="AF221" s="65">
        <f t="shared" si="44"/>
        <v>0</v>
      </c>
      <c r="AG221" s="64" t="s">
        <v>26</v>
      </c>
      <c r="AH221" s="64">
        <f t="shared" si="45"/>
        <v>0</v>
      </c>
      <c r="AI221" s="65">
        <f t="shared" si="45"/>
        <v>0</v>
      </c>
      <c r="AJ221" s="64" t="str">
        <f t="shared" si="46"/>
        <v/>
      </c>
      <c r="AK221" s="64" t="str">
        <f t="shared" si="42"/>
        <v/>
      </c>
      <c r="AL221" s="66"/>
      <c r="AM221" s="66"/>
    </row>
    <row r="222" spans="1:39" s="67" customFormat="1" ht="24" customHeight="1" x14ac:dyDescent="0.15">
      <c r="A222" s="299">
        <v>207</v>
      </c>
      <c r="B222" s="222"/>
      <c r="C222" s="315"/>
      <c r="D222" s="222"/>
      <c r="E222" s="265"/>
      <c r="F222" s="265"/>
      <c r="G222" s="266"/>
      <c r="H222" s="316"/>
      <c r="I222" s="226"/>
      <c r="J222" s="269"/>
      <c r="K222" s="269"/>
      <c r="L222" s="314"/>
      <c r="M222" s="298"/>
      <c r="N222" s="453"/>
      <c r="O222" s="450"/>
      <c r="P222" s="121"/>
      <c r="Q222" s="132"/>
      <c r="R222" s="132"/>
      <c r="S222" s="264"/>
      <c r="T222" s="64" t="s">
        <v>33</v>
      </c>
      <c r="U222" s="64">
        <f>COUNTIF(D216:D235,"구")</f>
        <v>0</v>
      </c>
      <c r="V222" s="65">
        <f>COUNTIF(I216:I235,"구")</f>
        <v>0</v>
      </c>
      <c r="W222" s="64" t="s">
        <v>26</v>
      </c>
      <c r="X222" s="64">
        <f>SUMIF(D216:D235,"구",F216:F235)</f>
        <v>0</v>
      </c>
      <c r="Y222" s="65">
        <f>SUMIF(I216:I235,"구",K216:K235)</f>
        <v>0</v>
      </c>
      <c r="Z222" s="64">
        <f>COUNTIF(AJ216:AJ235,"구국")+COUNTIF(AJ216:AJ235,"구공")</f>
        <v>0</v>
      </c>
      <c r="AA222" s="65">
        <f>COUNTIF(AK216:AK235,"구국")+COUNTIF(AK216:AK235,"구공")</f>
        <v>0</v>
      </c>
      <c r="AB222" s="64" t="s">
        <v>26</v>
      </c>
      <c r="AC222" s="64">
        <f>SUMIF(AJ216:AJ235,"구국",F216:F235)+SUMIF(AJ216:AJ235,"구공",F216:F235)</f>
        <v>0</v>
      </c>
      <c r="AD222" s="65">
        <f>SUMIF(AK216:AK235,"구국",K216:K235)+SUMIF(AK216:AK235,"구공",K216:K235)</f>
        <v>0</v>
      </c>
      <c r="AE222" s="64">
        <f t="shared" si="44"/>
        <v>0</v>
      </c>
      <c r="AF222" s="65">
        <f t="shared" si="44"/>
        <v>0</v>
      </c>
      <c r="AG222" s="64" t="s">
        <v>26</v>
      </c>
      <c r="AH222" s="64">
        <f t="shared" si="45"/>
        <v>0</v>
      </c>
      <c r="AI222" s="65">
        <f t="shared" si="45"/>
        <v>0</v>
      </c>
      <c r="AJ222" s="64" t="str">
        <f t="shared" si="46"/>
        <v/>
      </c>
      <c r="AK222" s="64" t="str">
        <f t="shared" si="42"/>
        <v/>
      </c>
      <c r="AL222" s="66"/>
      <c r="AM222" s="66"/>
    </row>
    <row r="223" spans="1:39" s="67" customFormat="1" ht="24" customHeight="1" x14ac:dyDescent="0.15">
      <c r="A223" s="299">
        <v>208</v>
      </c>
      <c r="B223" s="222"/>
      <c r="C223" s="136"/>
      <c r="D223" s="133"/>
      <c r="E223" s="135"/>
      <c r="F223" s="135"/>
      <c r="G223" s="224"/>
      <c r="H223" s="232"/>
      <c r="I223" s="233"/>
      <c r="J223" s="227"/>
      <c r="K223" s="227"/>
      <c r="L223" s="314"/>
      <c r="M223" s="298"/>
      <c r="N223" s="453"/>
      <c r="O223" s="450"/>
      <c r="P223" s="132"/>
      <c r="Q223" s="121"/>
      <c r="R223" s="121"/>
      <c r="S223" s="264"/>
      <c r="T223" s="64" t="s">
        <v>34</v>
      </c>
      <c r="U223" s="64">
        <f>COUNTIF(D216:D235,"제")</f>
        <v>0</v>
      </c>
      <c r="V223" s="65">
        <f>COUNTIF(I216:I235,"제")</f>
        <v>0</v>
      </c>
      <c r="W223" s="64" t="s">
        <v>26</v>
      </c>
      <c r="X223" s="64">
        <f>SUMIF(D216:D235,"제",F216:F235)</f>
        <v>0</v>
      </c>
      <c r="Y223" s="65">
        <f>SUMIF(I216:I235,"제",K216:K235)</f>
        <v>0</v>
      </c>
      <c r="Z223" s="64">
        <f>COUNTIF(AJ216:AJ235,"제국")+COUNTIF(AJ216:AJ235,"제공")</f>
        <v>0</v>
      </c>
      <c r="AA223" s="65">
        <f>COUNTIF(AK216:AK235,"제국")+COUNTIF(AK216:AK235,"제공")</f>
        <v>0</v>
      </c>
      <c r="AB223" s="64" t="s">
        <v>26</v>
      </c>
      <c r="AC223" s="64">
        <f>SUMIF(AJ216:AJ235,"제국",F216:F235)+SUMIF(AJ216:AJ235,"제공",F216:F235)</f>
        <v>0</v>
      </c>
      <c r="AD223" s="65">
        <f>SUMIF(AK216:AK235,"제국",K216:K235)+SUMIF(AK216:AK235,"제공",K216:K235)</f>
        <v>0</v>
      </c>
      <c r="AE223" s="64">
        <f t="shared" si="44"/>
        <v>0</v>
      </c>
      <c r="AF223" s="65">
        <f t="shared" si="44"/>
        <v>0</v>
      </c>
      <c r="AG223" s="64" t="s">
        <v>26</v>
      </c>
      <c r="AH223" s="64">
        <f t="shared" si="45"/>
        <v>0</v>
      </c>
      <c r="AI223" s="65">
        <f t="shared" si="45"/>
        <v>0</v>
      </c>
      <c r="AJ223" s="64" t="str">
        <f t="shared" si="46"/>
        <v/>
      </c>
      <c r="AK223" s="64" t="str">
        <f t="shared" si="42"/>
        <v/>
      </c>
      <c r="AL223" s="66"/>
      <c r="AM223" s="66"/>
    </row>
    <row r="224" spans="1:39" s="67" customFormat="1" ht="24" customHeight="1" x14ac:dyDescent="0.15">
      <c r="A224" s="299">
        <v>209</v>
      </c>
      <c r="B224" s="222"/>
      <c r="C224" s="315"/>
      <c r="D224" s="222"/>
      <c r="E224" s="265"/>
      <c r="F224" s="265"/>
      <c r="G224" s="266"/>
      <c r="H224" s="316"/>
      <c r="I224" s="226"/>
      <c r="J224" s="269"/>
      <c r="K224" s="269"/>
      <c r="L224" s="314"/>
      <c r="M224" s="298"/>
      <c r="N224" s="453"/>
      <c r="O224" s="450"/>
      <c r="P224" s="121"/>
      <c r="Q224" s="132"/>
      <c r="R224" s="132"/>
      <c r="S224" s="264"/>
      <c r="T224" s="64" t="s">
        <v>46</v>
      </c>
      <c r="U224" s="64">
        <f>COUNTIF(D216:D235,"유")</f>
        <v>0</v>
      </c>
      <c r="V224" s="65">
        <f>COUNTIF(I216:I235,"유")</f>
        <v>0</v>
      </c>
      <c r="W224" s="64" t="s">
        <v>26</v>
      </c>
      <c r="X224" s="64">
        <f>SUMIF(D216:D235,"유",F216:F235)</f>
        <v>0</v>
      </c>
      <c r="Y224" s="65">
        <f>SUMIF(I216:I235,"유",K216:K235)</f>
        <v>0</v>
      </c>
      <c r="Z224" s="64">
        <f>COUNTIF(AJ216:AJ235,"유국")+COUNTIF(AJ216:AJ235,"유공")</f>
        <v>0</v>
      </c>
      <c r="AA224" s="65">
        <f>COUNTIF(AK216:AK235,"유국")+COUNTIF(AK216:AK235,"유공")</f>
        <v>0</v>
      </c>
      <c r="AB224" s="64" t="s">
        <v>26</v>
      </c>
      <c r="AC224" s="64">
        <f>SUMIF(AJ216:AJ235,"유국",F216:F235)+SUMIF(AJ216:AJ235,"유공",F216:F235)</f>
        <v>0</v>
      </c>
      <c r="AD224" s="65">
        <f>SUMIF(AK216:AK235,"유국",K216:K235)+SUMIF(AK216:AK235,"유공",K216:K235)</f>
        <v>0</v>
      </c>
      <c r="AE224" s="64">
        <f t="shared" si="44"/>
        <v>0</v>
      </c>
      <c r="AF224" s="65">
        <f t="shared" si="44"/>
        <v>0</v>
      </c>
      <c r="AG224" s="64" t="s">
        <v>26</v>
      </c>
      <c r="AH224" s="64">
        <f t="shared" si="45"/>
        <v>0</v>
      </c>
      <c r="AI224" s="65">
        <f t="shared" si="45"/>
        <v>0</v>
      </c>
      <c r="AJ224" s="64" t="str">
        <f t="shared" si="46"/>
        <v/>
      </c>
      <c r="AK224" s="64" t="str">
        <f t="shared" si="42"/>
        <v/>
      </c>
      <c r="AL224" s="66"/>
      <c r="AM224" s="66"/>
    </row>
    <row r="225" spans="1:39" s="67" customFormat="1" ht="24" customHeight="1" x14ac:dyDescent="0.15">
      <c r="A225" s="299">
        <v>210</v>
      </c>
      <c r="B225" s="222"/>
      <c r="C225" s="136"/>
      <c r="D225" s="133"/>
      <c r="E225" s="286"/>
      <c r="F225" s="265"/>
      <c r="G225" s="287"/>
      <c r="H225" s="232"/>
      <c r="I225" s="233"/>
      <c r="J225" s="288"/>
      <c r="K225" s="269"/>
      <c r="L225" s="128"/>
      <c r="M225" s="128"/>
      <c r="N225" s="425"/>
      <c r="O225" s="425"/>
      <c r="P225" s="132"/>
      <c r="Q225" s="102"/>
      <c r="R225" s="132"/>
      <c r="S225" s="264"/>
      <c r="T225" s="64" t="s">
        <v>47</v>
      </c>
      <c r="U225" s="64">
        <f>COUNTIF(D216:D235,"과")</f>
        <v>0</v>
      </c>
      <c r="V225" s="65">
        <f>COUNTIF(I216:I235,"과")</f>
        <v>0</v>
      </c>
      <c r="W225" s="64" t="s">
        <v>26</v>
      </c>
      <c r="X225" s="64">
        <f>SUMIF(D216:D235,"과",F216:F235)</f>
        <v>0</v>
      </c>
      <c r="Y225" s="65">
        <f>SUMIF(I216:I235,"과",K216:K235)</f>
        <v>0</v>
      </c>
      <c r="Z225" s="64">
        <f>COUNTIF(AJ216:AJ235,"과국")+COUNTIF(AJ216:AJ235,"과공")</f>
        <v>0</v>
      </c>
      <c r="AA225" s="65">
        <f>COUNTIF(AK216:AK235,"과국")+COUNTIF(AK216:AK235,"과공")</f>
        <v>0</v>
      </c>
      <c r="AB225" s="64" t="s">
        <v>26</v>
      </c>
      <c r="AC225" s="64">
        <f>SUMIF(AJ216:AJ235,"과국",F216:F235)+SUMIF(AJ216:AJ235,"과공",F216:F235)</f>
        <v>0</v>
      </c>
      <c r="AD225" s="65">
        <f>SUMIF(AK216:AK235,"과국",K216:K235)+SUMIF(AK216:AK235,"과공",K216:K235)</f>
        <v>0</v>
      </c>
      <c r="AE225" s="64">
        <f t="shared" si="44"/>
        <v>0</v>
      </c>
      <c r="AF225" s="65">
        <f t="shared" si="44"/>
        <v>0</v>
      </c>
      <c r="AG225" s="64" t="s">
        <v>26</v>
      </c>
      <c r="AH225" s="64">
        <f t="shared" si="45"/>
        <v>0</v>
      </c>
      <c r="AI225" s="65">
        <f t="shared" si="45"/>
        <v>0</v>
      </c>
      <c r="AJ225" s="64" t="str">
        <f t="shared" si="46"/>
        <v/>
      </c>
      <c r="AK225" s="64" t="str">
        <f t="shared" si="42"/>
        <v/>
      </c>
      <c r="AL225" s="66"/>
      <c r="AM225" s="66"/>
    </row>
    <row r="226" spans="1:39" s="67" customFormat="1" ht="24" customHeight="1" x14ac:dyDescent="0.15">
      <c r="A226" s="299">
        <v>211</v>
      </c>
      <c r="B226" s="222"/>
      <c r="C226" s="132"/>
      <c r="D226" s="274"/>
      <c r="E226" s="265"/>
      <c r="F226" s="265"/>
      <c r="G226" s="266"/>
      <c r="H226" s="267"/>
      <c r="I226" s="275"/>
      <c r="J226" s="269"/>
      <c r="K226" s="269"/>
      <c r="L226" s="128"/>
      <c r="M226" s="155"/>
      <c r="N226" s="425"/>
      <c r="O226" s="439"/>
      <c r="P226" s="132"/>
      <c r="Q226" s="132"/>
      <c r="R226" s="132"/>
      <c r="S226" s="264"/>
      <c r="T226" s="64" t="s">
        <v>36</v>
      </c>
      <c r="U226" s="64">
        <f>COUNTIF(D216:D235,"묘")</f>
        <v>0</v>
      </c>
      <c r="V226" s="65">
        <f>COUNTIF(I216:I235,"묘")</f>
        <v>0</v>
      </c>
      <c r="W226" s="64" t="s">
        <v>26</v>
      </c>
      <c r="X226" s="64">
        <f>SUMIF(D216:D235,"묘",F216:F235)</f>
        <v>0</v>
      </c>
      <c r="Y226" s="65">
        <f>SUMIF(I216:I235,"묘",K216:K235)</f>
        <v>0</v>
      </c>
      <c r="Z226" s="64">
        <f>COUNTIF(AJ216:AJ235,"묘국")+COUNTIF(AJ216:AJ235,"묘공")</f>
        <v>0</v>
      </c>
      <c r="AA226" s="65">
        <f>COUNTIF(AK216:AK235,"묘국")+COUNTIF(AK216:AK235,"묘공")</f>
        <v>0</v>
      </c>
      <c r="AB226" s="64" t="s">
        <v>26</v>
      </c>
      <c r="AC226" s="64">
        <f>SUMIF(AJ216:AJ235,"묘국",F216:F235)+SUMIF(AJ216:AJ235,"묘공",F216:F235)</f>
        <v>0</v>
      </c>
      <c r="AD226" s="65">
        <f>SUMIF(AK216:AK235,"묘국",K216:K235)+SUMIF(AK216:AK235,"묘공",K216:K235)</f>
        <v>0</v>
      </c>
      <c r="AE226" s="64">
        <f t="shared" si="44"/>
        <v>0</v>
      </c>
      <c r="AF226" s="65">
        <f t="shared" si="44"/>
        <v>0</v>
      </c>
      <c r="AG226" s="64" t="s">
        <v>26</v>
      </c>
      <c r="AH226" s="64">
        <f t="shared" si="45"/>
        <v>0</v>
      </c>
      <c r="AI226" s="65">
        <f t="shared" si="45"/>
        <v>0</v>
      </c>
      <c r="AJ226" s="64" t="str">
        <f t="shared" si="46"/>
        <v/>
      </c>
      <c r="AK226" s="64" t="str">
        <f t="shared" si="42"/>
        <v/>
      </c>
      <c r="AL226" s="66"/>
      <c r="AM226" s="66"/>
    </row>
    <row r="227" spans="1:39" s="67" customFormat="1" ht="24" customHeight="1" x14ac:dyDescent="0.15">
      <c r="A227" s="299">
        <v>212</v>
      </c>
      <c r="B227" s="222"/>
      <c r="C227" s="136"/>
      <c r="D227" s="274"/>
      <c r="E227" s="265"/>
      <c r="F227" s="265"/>
      <c r="G227" s="266"/>
      <c r="H227" s="232"/>
      <c r="I227" s="275"/>
      <c r="J227" s="269"/>
      <c r="K227" s="269"/>
      <c r="L227" s="128"/>
      <c r="M227" s="155"/>
      <c r="N227" s="425"/>
      <c r="O227" s="439"/>
      <c r="P227" s="132"/>
      <c r="Q227" s="132"/>
      <c r="R227" s="132"/>
      <c r="S227" s="264"/>
      <c r="T227" s="64" t="s">
        <v>39</v>
      </c>
      <c r="U227" s="64">
        <f>COUNTIF(D216:D235,"수")</f>
        <v>0</v>
      </c>
      <c r="V227" s="65">
        <f>COUNTIF(I216:I235,"수")</f>
        <v>0</v>
      </c>
      <c r="W227" s="64" t="s">
        <v>26</v>
      </c>
      <c r="X227" s="64">
        <f>SUMIF(D216:D235,"수",F216:F235)</f>
        <v>0</v>
      </c>
      <c r="Y227" s="65">
        <f>SUMIF(I216:I235,"수",K216:K235)</f>
        <v>0</v>
      </c>
      <c r="Z227" s="64">
        <f>COUNTIF(AJ216:AJ235,"수국")+COUNTIF(AJ216:AJ235,"수공")</f>
        <v>0</v>
      </c>
      <c r="AA227" s="65">
        <f>COUNTIF(AK216:AK235,"수국")+COUNTIF(AK216:AK235,"수공")</f>
        <v>0</v>
      </c>
      <c r="AB227" s="64" t="s">
        <v>26</v>
      </c>
      <c r="AC227" s="64">
        <f>SUMIF(AJ216:AJ235,"수국",F216:F235)+SUMIF(AJ216:AJ235,"수공",F216:F235)</f>
        <v>0</v>
      </c>
      <c r="AD227" s="65">
        <f>SUMIF(AK216:AK235,"수국",K216:K235)+SUMIF(AK216:AK235,"수공",K216:K235)</f>
        <v>0</v>
      </c>
      <c r="AE227" s="64">
        <f t="shared" si="44"/>
        <v>0</v>
      </c>
      <c r="AF227" s="65">
        <f t="shared" si="44"/>
        <v>0</v>
      </c>
      <c r="AG227" s="64" t="s">
        <v>26</v>
      </c>
      <c r="AH227" s="64">
        <f t="shared" si="45"/>
        <v>0</v>
      </c>
      <c r="AI227" s="65">
        <f t="shared" si="45"/>
        <v>0</v>
      </c>
      <c r="AJ227" s="64" t="str">
        <f t="shared" si="46"/>
        <v/>
      </c>
      <c r="AK227" s="64" t="str">
        <f t="shared" si="42"/>
        <v/>
      </c>
      <c r="AL227" s="66"/>
      <c r="AM227" s="66"/>
    </row>
    <row r="228" spans="1:39" s="67" customFormat="1" ht="24" customHeight="1" x14ac:dyDescent="0.15">
      <c r="A228" s="299">
        <v>213</v>
      </c>
      <c r="B228" s="222"/>
      <c r="C228" s="136"/>
      <c r="D228" s="133"/>
      <c r="E228" s="265"/>
      <c r="F228" s="265"/>
      <c r="G228" s="266"/>
      <c r="H228" s="232"/>
      <c r="I228" s="233"/>
      <c r="J228" s="269"/>
      <c r="K228" s="269"/>
      <c r="L228" s="128"/>
      <c r="M228" s="155"/>
      <c r="N228" s="425"/>
      <c r="O228" s="439"/>
      <c r="P228" s="132"/>
      <c r="Q228" s="132"/>
      <c r="R228" s="132"/>
      <c r="S228" s="264"/>
      <c r="T228" s="64" t="s">
        <v>35</v>
      </c>
      <c r="U228" s="64">
        <f>COUNTIF(D216:D235,"잡")</f>
        <v>0</v>
      </c>
      <c r="V228" s="65">
        <f>COUNTIF(I216:I235,"잡")</f>
        <v>0</v>
      </c>
      <c r="W228" s="64" t="s">
        <v>26</v>
      </c>
      <c r="X228" s="64">
        <f>SUMIF(D216:D235,"잡",F216:F235)</f>
        <v>0</v>
      </c>
      <c r="Y228" s="65">
        <f>SUMIF(I216:I235,"잡",K216:K235)</f>
        <v>0</v>
      </c>
      <c r="Z228" s="64">
        <f>COUNTIF(AJ216:AJ235,"잡국")+COUNTIF(AJ216:AJ235,"잡공")</f>
        <v>0</v>
      </c>
      <c r="AA228" s="65">
        <f>COUNTIF(AK216:AK235,"잡국")+COUNTIF(AK216:AK235,"잡공")</f>
        <v>0</v>
      </c>
      <c r="AB228" s="64" t="s">
        <v>26</v>
      </c>
      <c r="AC228" s="64">
        <f>SUMIF(AJ216:AJ235,"잡국",F216:F235)+SUMIF(AJ216:AJ235,"잡공",F216:F235)</f>
        <v>0</v>
      </c>
      <c r="AD228" s="65">
        <f>SUMIF(AK216:AK235,"잡국",K216:K235)+SUMIF(AK216:AK235,"잡공",K216:K235)</f>
        <v>0</v>
      </c>
      <c r="AE228" s="64">
        <f t="shared" si="44"/>
        <v>0</v>
      </c>
      <c r="AF228" s="65">
        <f t="shared" si="44"/>
        <v>0</v>
      </c>
      <c r="AG228" s="64" t="s">
        <v>26</v>
      </c>
      <c r="AH228" s="64">
        <f t="shared" si="45"/>
        <v>0</v>
      </c>
      <c r="AI228" s="65">
        <f t="shared" si="45"/>
        <v>0</v>
      </c>
      <c r="AJ228" s="64" t="str">
        <f t="shared" si="46"/>
        <v/>
      </c>
      <c r="AK228" s="64" t="str">
        <f t="shared" si="42"/>
        <v/>
      </c>
      <c r="AL228" s="66"/>
      <c r="AM228" s="66"/>
    </row>
    <row r="229" spans="1:39" s="67" customFormat="1" ht="24" customHeight="1" x14ac:dyDescent="0.15">
      <c r="A229" s="299">
        <v>214</v>
      </c>
      <c r="B229" s="222"/>
      <c r="C229" s="136"/>
      <c r="D229" s="133"/>
      <c r="E229" s="265"/>
      <c r="F229" s="265"/>
      <c r="G229" s="266"/>
      <c r="H229" s="232"/>
      <c r="I229" s="233"/>
      <c r="J229" s="269"/>
      <c r="K229" s="269"/>
      <c r="L229" s="128"/>
      <c r="M229" s="155"/>
      <c r="N229" s="425"/>
      <c r="O229" s="439"/>
      <c r="P229" s="132"/>
      <c r="Q229" s="132"/>
      <c r="R229" s="132"/>
      <c r="S229" s="264"/>
      <c r="T229" s="64" t="s">
        <v>195</v>
      </c>
      <c r="U229" s="64">
        <f>COUNTIF(D216:D235,"창")</f>
        <v>0</v>
      </c>
      <c r="V229" s="65">
        <f>COUNTIF(I216:I235,"창")</f>
        <v>0</v>
      </c>
      <c r="W229" s="64" t="s">
        <v>26</v>
      </c>
      <c r="X229" s="64">
        <f>SUMIF(D216:D235,"창",F216:F235)</f>
        <v>0</v>
      </c>
      <c r="Y229" s="65">
        <f>SUMIF(I216:I235,"창",K216:K235)</f>
        <v>0</v>
      </c>
      <c r="Z229" s="64">
        <f>COUNTIF(AJ216:AJ235,"창국")+COUNTIF(AJ216:AJ235,"창공")</f>
        <v>0</v>
      </c>
      <c r="AA229" s="65">
        <f>COUNTIF(AK216:AK235,"창국")+COUNTIF(AK216:AK235,"창공")</f>
        <v>0</v>
      </c>
      <c r="AB229" s="64" t="s">
        <v>26</v>
      </c>
      <c r="AC229" s="64">
        <f>SUMIF(AJ216:AJ235,"창국",F216:F235)+SUMIF(AJ216:AJ235,"창공",F216:F235)</f>
        <v>0</v>
      </c>
      <c r="AD229" s="65">
        <f>SUMIF(AK216:AK235,"창국",K216:K235)+SUMIF(AK216:AK235,"창공",K216:K235)</f>
        <v>0</v>
      </c>
      <c r="AE229" s="64">
        <f t="shared" si="44"/>
        <v>0</v>
      </c>
      <c r="AF229" s="65">
        <f t="shared" si="44"/>
        <v>0</v>
      </c>
      <c r="AG229" s="64" t="s">
        <v>26</v>
      </c>
      <c r="AH229" s="64">
        <f t="shared" si="45"/>
        <v>0</v>
      </c>
      <c r="AI229" s="65">
        <f t="shared" si="45"/>
        <v>0</v>
      </c>
      <c r="AJ229" s="64" t="str">
        <f t="shared" si="46"/>
        <v/>
      </c>
      <c r="AK229" s="64" t="str">
        <f t="shared" si="42"/>
        <v/>
      </c>
      <c r="AL229" s="66"/>
      <c r="AM229" s="66"/>
    </row>
    <row r="230" spans="1:39" s="67" customFormat="1" ht="24" customHeight="1" x14ac:dyDescent="0.15">
      <c r="A230" s="299">
        <v>215</v>
      </c>
      <c r="B230" s="222"/>
      <c r="C230" s="132"/>
      <c r="D230" s="274"/>
      <c r="E230" s="265"/>
      <c r="F230" s="265"/>
      <c r="G230" s="266"/>
      <c r="H230" s="267"/>
      <c r="I230" s="275"/>
      <c r="J230" s="269"/>
      <c r="K230" s="269"/>
      <c r="L230" s="128"/>
      <c r="M230" s="155"/>
      <c r="N230" s="425"/>
      <c r="O230" s="439"/>
      <c r="P230" s="132"/>
      <c r="Q230" s="132"/>
      <c r="R230" s="132"/>
      <c r="S230" s="264"/>
      <c r="T230" s="64" t="s">
        <v>194</v>
      </c>
      <c r="U230" s="64">
        <f>COUNTIF(D216:D235,"장")</f>
        <v>0</v>
      </c>
      <c r="V230" s="65">
        <f>COUNTIF(I216:I235,"장")</f>
        <v>0</v>
      </c>
      <c r="W230" s="64" t="s">
        <v>26</v>
      </c>
      <c r="X230" s="64">
        <f>SUMIF(D216:D235,"장",F216:F235)</f>
        <v>0</v>
      </c>
      <c r="Y230" s="65">
        <f>SUMIF(I216:I235,"장",K216:K235)</f>
        <v>0</v>
      </c>
      <c r="Z230" s="64">
        <f>COUNTIF(AJ216:AJ235,"장국")+COUNTIF(AJ216:AJ235,"장장")</f>
        <v>0</v>
      </c>
      <c r="AA230" s="65">
        <f>COUNTIF(AK216:AK235,"장국")+COUNTIF(AK216:AK235,"장장")</f>
        <v>0</v>
      </c>
      <c r="AB230" s="64" t="s">
        <v>26</v>
      </c>
      <c r="AC230" s="64">
        <f>SUMIF(AJ216:AJ235,"장국",F216:F235)+SUMIF(AJ216:AJ235,"장장",F216:F235)</f>
        <v>0</v>
      </c>
      <c r="AD230" s="65">
        <f>SUMIF(AK216:AK235,"장국",K216:K235)+SUMIF(AK216:AK235,"장장",K216:K235)</f>
        <v>0</v>
      </c>
      <c r="AE230" s="64">
        <f t="shared" si="44"/>
        <v>0</v>
      </c>
      <c r="AF230" s="65">
        <f t="shared" si="44"/>
        <v>0</v>
      </c>
      <c r="AG230" s="64" t="s">
        <v>26</v>
      </c>
      <c r="AH230" s="64">
        <f t="shared" si="45"/>
        <v>0</v>
      </c>
      <c r="AI230" s="65">
        <f t="shared" si="45"/>
        <v>0</v>
      </c>
      <c r="AJ230" s="64" t="str">
        <f t="shared" si="46"/>
        <v/>
      </c>
      <c r="AK230" s="64" t="str">
        <f t="shared" si="42"/>
        <v/>
      </c>
      <c r="AL230" s="66"/>
      <c r="AM230" s="66"/>
    </row>
    <row r="231" spans="1:39" s="67" customFormat="1" ht="24" customHeight="1" x14ac:dyDescent="0.15">
      <c r="A231" s="299">
        <v>216</v>
      </c>
      <c r="B231" s="222"/>
      <c r="C231" s="132"/>
      <c r="D231" s="161"/>
      <c r="E231" s="265"/>
      <c r="F231" s="265"/>
      <c r="G231" s="266"/>
      <c r="H231" s="267"/>
      <c r="I231" s="268"/>
      <c r="J231" s="269"/>
      <c r="K231" s="269"/>
      <c r="L231" s="128"/>
      <c r="M231" s="155"/>
      <c r="N231" s="425"/>
      <c r="O231" s="439"/>
      <c r="P231" s="132"/>
      <c r="Q231" s="132"/>
      <c r="R231" s="132"/>
      <c r="S231" s="264"/>
      <c r="T231" s="70" t="s">
        <v>193</v>
      </c>
      <c r="U231" s="64">
        <f>COUNTIF(D216:D235,"학")</f>
        <v>0</v>
      </c>
      <c r="V231" s="65">
        <f>COUNTIF(I216:I235,"학")</f>
        <v>0</v>
      </c>
      <c r="W231" s="64" t="s">
        <v>26</v>
      </c>
      <c r="X231" s="64">
        <f>SUMIF(D216:D235,"학",F216:F235)</f>
        <v>0</v>
      </c>
      <c r="Y231" s="65">
        <f>SUMIF(I216:I235,"학",K216:K235)</f>
        <v>0</v>
      </c>
      <c r="Z231" s="64">
        <f>COUNTIF(AJ216:AJ235,"학국")+COUNTIF(AJ216:AJ235,"학공")</f>
        <v>0</v>
      </c>
      <c r="AA231" s="65">
        <f>COUNTIF(AK216:AK235,"학국")+COUNTIF(AK216:AK235,"학공")</f>
        <v>0</v>
      </c>
      <c r="AB231" s="64" t="s">
        <v>26</v>
      </c>
      <c r="AC231" s="64">
        <f>SUMIF(AJ216:AJ235,"학국",F216:F235)+SUMIF(AJ216:AJ235,"학공",F216:F235)</f>
        <v>0</v>
      </c>
      <c r="AD231" s="65">
        <f>SUMIF(AK216:AK235,"학국",K216:K235)+SUMIF(AK216:AK235,"학공",K216:K235)</f>
        <v>0</v>
      </c>
      <c r="AE231" s="64">
        <f t="shared" si="44"/>
        <v>0</v>
      </c>
      <c r="AF231" s="65">
        <f t="shared" si="44"/>
        <v>0</v>
      </c>
      <c r="AG231" s="64" t="s">
        <v>26</v>
      </c>
      <c r="AH231" s="64">
        <f t="shared" si="45"/>
        <v>0</v>
      </c>
      <c r="AI231" s="65">
        <f t="shared" si="45"/>
        <v>0</v>
      </c>
      <c r="AJ231" s="64" t="str">
        <f t="shared" si="46"/>
        <v/>
      </c>
      <c r="AK231" s="64" t="str">
        <f t="shared" si="42"/>
        <v/>
      </c>
      <c r="AL231" s="66"/>
      <c r="AM231" s="66"/>
    </row>
    <row r="232" spans="1:39" s="67" customFormat="1" ht="24" customHeight="1" x14ac:dyDescent="0.15">
      <c r="A232" s="299">
        <v>217</v>
      </c>
      <c r="B232" s="222"/>
      <c r="C232" s="136"/>
      <c r="D232" s="133"/>
      <c r="E232" s="265"/>
      <c r="F232" s="265"/>
      <c r="G232" s="266"/>
      <c r="H232" s="232"/>
      <c r="I232" s="233"/>
      <c r="J232" s="269"/>
      <c r="K232" s="269"/>
      <c r="L232" s="128"/>
      <c r="M232" s="155"/>
      <c r="N232" s="425"/>
      <c r="O232" s="439"/>
      <c r="P232" s="132"/>
      <c r="Q232" s="132"/>
      <c r="R232" s="132"/>
      <c r="S232" s="206"/>
      <c r="T232" s="70" t="s">
        <v>79</v>
      </c>
      <c r="U232" s="64">
        <f>COUNTIF(D216:D235,"목")</f>
        <v>0</v>
      </c>
      <c r="V232" s="65">
        <f>COUNTIF(I216:I235,"목")</f>
        <v>0</v>
      </c>
      <c r="W232" s="64" t="s">
        <v>26</v>
      </c>
      <c r="X232" s="64">
        <f>SUMIF(D216:D235,"목",F216:F235)</f>
        <v>0</v>
      </c>
      <c r="Y232" s="65">
        <f>SUMIF(I216:I235,"목",K216:K235)</f>
        <v>0</v>
      </c>
      <c r="Z232" s="64">
        <f>COUNTIF(AJ216:AJ235,"목국")+COUNTIF(AJ216:AJ235,"목공")</f>
        <v>0</v>
      </c>
      <c r="AA232" s="65">
        <f>COUNTIF(AK216:AK235,"목국")+COUNTIF(AK216:AK235,"목공")</f>
        <v>0</v>
      </c>
      <c r="AB232" s="64" t="s">
        <v>26</v>
      </c>
      <c r="AC232" s="64">
        <f>SUMIF(AJ216:AJ235,"목국",F216:F235)+SUMIF(AJ216:AJ235,"목공",F216:F235)</f>
        <v>0</v>
      </c>
      <c r="AD232" s="65">
        <f>SUMIF(AK216:AK235,"목국",K216:K235)+SUMIF(AK216:AK235,"목공",K216:K235)</f>
        <v>0</v>
      </c>
      <c r="AE232" s="64">
        <f t="shared" si="44"/>
        <v>0</v>
      </c>
      <c r="AF232" s="65">
        <f t="shared" si="44"/>
        <v>0</v>
      </c>
      <c r="AG232" s="64" t="s">
        <v>26</v>
      </c>
      <c r="AH232" s="64">
        <f t="shared" si="45"/>
        <v>0</v>
      </c>
      <c r="AI232" s="65">
        <f t="shared" si="45"/>
        <v>0</v>
      </c>
      <c r="AJ232" s="64" t="str">
        <f t="shared" si="46"/>
        <v/>
      </c>
      <c r="AK232" s="64" t="str">
        <f t="shared" si="42"/>
        <v/>
      </c>
      <c r="AL232" s="66"/>
      <c r="AM232" s="66"/>
    </row>
    <row r="233" spans="1:39" s="67" customFormat="1" ht="24" customHeight="1" x14ac:dyDescent="0.15">
      <c r="A233" s="299">
        <v>218</v>
      </c>
      <c r="B233" s="222"/>
      <c r="C233" s="132"/>
      <c r="D233" s="274"/>
      <c r="E233" s="265"/>
      <c r="F233" s="265"/>
      <c r="G233" s="266"/>
      <c r="H233" s="267"/>
      <c r="I233" s="275"/>
      <c r="J233" s="269"/>
      <c r="K233" s="269"/>
      <c r="L233" s="128"/>
      <c r="M233" s="128"/>
      <c r="N233" s="425"/>
      <c r="O233" s="425"/>
      <c r="P233" s="132"/>
      <c r="Q233" s="132"/>
      <c r="R233" s="132"/>
      <c r="S233" s="264"/>
      <c r="T233" s="70"/>
      <c r="U233" s="70"/>
      <c r="V233" s="71"/>
      <c r="W233" s="70"/>
      <c r="X233" s="70"/>
      <c r="Y233" s="71"/>
      <c r="Z233" s="64"/>
      <c r="AA233" s="65"/>
      <c r="AB233" s="70"/>
      <c r="AC233" s="64"/>
      <c r="AD233" s="65"/>
      <c r="AE233" s="70"/>
      <c r="AF233" s="71"/>
      <c r="AG233" s="70"/>
      <c r="AH233" s="70"/>
      <c r="AI233" s="71"/>
      <c r="AJ233" s="64" t="str">
        <f t="shared" si="46"/>
        <v/>
      </c>
      <c r="AK233" s="64" t="str">
        <f t="shared" si="42"/>
        <v/>
      </c>
      <c r="AL233" s="66"/>
      <c r="AM233" s="66"/>
    </row>
    <row r="234" spans="1:39" s="67" customFormat="1" ht="24" customHeight="1" x14ac:dyDescent="0.15">
      <c r="A234" s="299">
        <v>219</v>
      </c>
      <c r="B234" s="222"/>
      <c r="C234" s="136"/>
      <c r="D234" s="133"/>
      <c r="E234" s="135"/>
      <c r="F234" s="135"/>
      <c r="G234" s="224"/>
      <c r="H234" s="232"/>
      <c r="I234" s="233"/>
      <c r="J234" s="227"/>
      <c r="K234" s="227"/>
      <c r="L234" s="128"/>
      <c r="M234" s="128"/>
      <c r="N234" s="425"/>
      <c r="O234" s="425"/>
      <c r="P234" s="132"/>
      <c r="Q234" s="121"/>
      <c r="R234" s="121"/>
      <c r="S234" s="264"/>
      <c r="T234" s="70"/>
      <c r="U234" s="70"/>
      <c r="V234" s="71"/>
      <c r="W234" s="70"/>
      <c r="X234" s="70"/>
      <c r="Y234" s="71"/>
      <c r="Z234" s="64"/>
      <c r="AA234" s="65"/>
      <c r="AB234" s="70"/>
      <c r="AC234" s="64"/>
      <c r="AD234" s="65"/>
      <c r="AE234" s="70"/>
      <c r="AF234" s="71"/>
      <c r="AG234" s="70"/>
      <c r="AH234" s="70"/>
      <c r="AI234" s="71"/>
      <c r="AJ234" s="64" t="str">
        <f t="shared" si="46"/>
        <v/>
      </c>
      <c r="AK234" s="64" t="str">
        <f t="shared" si="42"/>
        <v/>
      </c>
      <c r="AL234" s="66"/>
      <c r="AM234" s="66"/>
    </row>
    <row r="235" spans="1:39" s="67" customFormat="1" ht="24" customHeight="1" x14ac:dyDescent="0.15">
      <c r="A235" s="299">
        <v>220</v>
      </c>
      <c r="B235" s="222"/>
      <c r="C235" s="315"/>
      <c r="D235" s="222"/>
      <c r="E235" s="265"/>
      <c r="F235" s="265"/>
      <c r="G235" s="266"/>
      <c r="H235" s="316"/>
      <c r="I235" s="226"/>
      <c r="J235" s="269"/>
      <c r="K235" s="269"/>
      <c r="L235" s="128"/>
      <c r="M235" s="128"/>
      <c r="N235" s="425"/>
      <c r="O235" s="425"/>
      <c r="P235" s="121"/>
      <c r="Q235" s="132"/>
      <c r="R235" s="132"/>
      <c r="S235" s="264"/>
      <c r="T235" s="72" t="s">
        <v>37</v>
      </c>
      <c r="U235" s="72">
        <f>COUNTIF(D216:D235,"철")</f>
        <v>0</v>
      </c>
      <c r="V235" s="73">
        <f>COUNTIF(I216:I235,"철")</f>
        <v>0</v>
      </c>
      <c r="W235" s="72" t="s">
        <v>26</v>
      </c>
      <c r="X235" s="72">
        <f>SUMIF(D216:D235,"철",F216:F235)</f>
        <v>0</v>
      </c>
      <c r="Y235" s="73">
        <f>SUMIF(I216:I235,"철",K216:K235)</f>
        <v>0</v>
      </c>
      <c r="Z235" s="64">
        <f>COUNTIF(AJ216:AJ235,"철국")+COUNTIF(AJ216:AJ235,"철공")</f>
        <v>0</v>
      </c>
      <c r="AA235" s="65">
        <f>COUNTIF(AK216:AK235,"철국")+COUNTIF(AK216:AK235,"철공")</f>
        <v>0</v>
      </c>
      <c r="AB235" s="72" t="s">
        <v>26</v>
      </c>
      <c r="AC235" s="64">
        <f>SUMIF(AJ216:AJ235,"철국",F216:F235)+SUMIF(AJ216:AJ235,"철공",F216:F235)</f>
        <v>0</v>
      </c>
      <c r="AD235" s="65">
        <f>SUMIF(AK216:AK235,"철국",K216:K235)+SUMIF(AK216:AK235,"철공",K216:K235)</f>
        <v>0</v>
      </c>
      <c r="AE235" s="72"/>
      <c r="AF235" s="73"/>
      <c r="AG235" s="72"/>
      <c r="AH235" s="72"/>
      <c r="AI235" s="73"/>
      <c r="AJ235" s="64" t="str">
        <f t="shared" si="46"/>
        <v/>
      </c>
      <c r="AK235" s="64" t="str">
        <f t="shared" si="42"/>
        <v/>
      </c>
      <c r="AL235" s="66"/>
      <c r="AM235" s="66"/>
    </row>
    <row r="236" spans="1:39" s="67" customFormat="1" ht="24" customHeight="1" thickBot="1" x14ac:dyDescent="0.2">
      <c r="A236" s="147" t="s">
        <v>48</v>
      </c>
      <c r="B236" s="148"/>
      <c r="C236" s="178"/>
      <c r="D236" s="178"/>
      <c r="E236" s="293"/>
      <c r="F236" s="294">
        <f>SUM(F216:F235)</f>
        <v>0</v>
      </c>
      <c r="G236" s="295"/>
      <c r="H236" s="295"/>
      <c r="I236" s="296"/>
      <c r="J236" s="297"/>
      <c r="K236" s="311">
        <f>SUM(K216:K235)</f>
        <v>0</v>
      </c>
      <c r="L236" s="150"/>
      <c r="M236" s="150"/>
      <c r="N236" s="432"/>
      <c r="O236" s="432"/>
      <c r="P236" s="150"/>
      <c r="Q236" s="150"/>
      <c r="R236" s="150"/>
      <c r="S236" s="151"/>
      <c r="T236" s="62" t="s">
        <v>24</v>
      </c>
      <c r="U236" s="63">
        <f t="shared" ref="U236:AA236" si="47">SUM(U216:U235)</f>
        <v>0</v>
      </c>
      <c r="V236" s="63">
        <f t="shared" si="47"/>
        <v>0</v>
      </c>
      <c r="W236" s="63">
        <f t="shared" si="47"/>
        <v>0</v>
      </c>
      <c r="X236" s="63">
        <f t="shared" si="47"/>
        <v>0</v>
      </c>
      <c r="Y236" s="63">
        <f t="shared" si="47"/>
        <v>0</v>
      </c>
      <c r="Z236" s="277">
        <f t="shared" si="47"/>
        <v>0</v>
      </c>
      <c r="AA236" s="278">
        <f t="shared" si="47"/>
        <v>0</v>
      </c>
      <c r="AB236" s="277" t="s">
        <v>26</v>
      </c>
      <c r="AC236" s="277">
        <f>SUM(AC216:AC235)</f>
        <v>0</v>
      </c>
      <c r="AD236" s="278">
        <f>SUM(AD216:AD235)</f>
        <v>0</v>
      </c>
      <c r="AE236" s="63">
        <f>SUM(AE216:AE235)</f>
        <v>0</v>
      </c>
      <c r="AF236" s="63">
        <f>SUM(AF216:AF235)</f>
        <v>0</v>
      </c>
      <c r="AG236" s="63" t="s">
        <v>26</v>
      </c>
      <c r="AH236" s="63">
        <f>SUM(AH216:AH235)</f>
        <v>0</v>
      </c>
      <c r="AI236" s="63">
        <f>SUM(AI216:AI235)</f>
        <v>0</v>
      </c>
      <c r="AJ236" s="63"/>
      <c r="AK236" s="64" t="str">
        <f t="shared" si="42"/>
        <v/>
      </c>
      <c r="AL236" s="66"/>
      <c r="AM236" s="66"/>
    </row>
    <row r="237" spans="1:39" s="67" customFormat="1" ht="24" customHeight="1" x14ac:dyDescent="0.15">
      <c r="A237" s="312">
        <v>221</v>
      </c>
      <c r="B237" s="215"/>
      <c r="C237" s="140"/>
      <c r="D237" s="141"/>
      <c r="E237" s="217"/>
      <c r="F237" s="217"/>
      <c r="G237" s="244"/>
      <c r="H237" s="261"/>
      <c r="I237" s="262"/>
      <c r="J237" s="219"/>
      <c r="K237" s="219"/>
      <c r="L237" s="158"/>
      <c r="M237" s="158"/>
      <c r="N237" s="448"/>
      <c r="O237" s="448"/>
      <c r="P237" s="215"/>
      <c r="Q237" s="215"/>
      <c r="R237" s="215"/>
      <c r="S237" s="285"/>
      <c r="T237" s="64" t="s">
        <v>27</v>
      </c>
      <c r="U237" s="64">
        <f>COUNTIF(D237:D256,"전")</f>
        <v>0</v>
      </c>
      <c r="V237" s="65">
        <f>COUNTIF(I237:I256,"전")</f>
        <v>0</v>
      </c>
      <c r="W237" s="64" t="s">
        <v>26</v>
      </c>
      <c r="X237" s="64">
        <f>SUMIF(D237:D256,"전",F237:F256)</f>
        <v>0</v>
      </c>
      <c r="Y237" s="65">
        <f>SUMIF(I237:I256,"전",K237:K256)</f>
        <v>0</v>
      </c>
      <c r="Z237" s="64">
        <f>COUNTIF(AJ237:AJ256,"전국")+COUNTIF(AJ237:AJ256,"전공")</f>
        <v>0</v>
      </c>
      <c r="AA237" s="65">
        <f>COUNTIF(AK237:AK256,"전국")+COUNTIF(AK237:AK256,"전공")</f>
        <v>0</v>
      </c>
      <c r="AB237" s="64" t="s">
        <v>26</v>
      </c>
      <c r="AC237" s="64">
        <f>SUMIF(AJ237:AJ256,"전국",F237:F256)+SUMIF(AJ237:AJ256,"전공",F237:F256)</f>
        <v>0</v>
      </c>
      <c r="AD237" s="65">
        <f>SUMIF(AK237:AK256,"전국",K237:K256)+SUMIF(AK237:AK256,"전공",K237:K256)</f>
        <v>0</v>
      </c>
      <c r="AE237" s="64">
        <f t="shared" ref="AE237:AF253" si="48">U237-Z237</f>
        <v>0</v>
      </c>
      <c r="AF237" s="65">
        <f t="shared" si="48"/>
        <v>0</v>
      </c>
      <c r="AG237" s="64" t="s">
        <v>26</v>
      </c>
      <c r="AH237" s="64">
        <f t="shared" ref="AH237:AI253" si="49">X237-AC237</f>
        <v>0</v>
      </c>
      <c r="AI237" s="65">
        <f t="shared" si="49"/>
        <v>0</v>
      </c>
      <c r="AJ237" s="64" t="str">
        <f t="shared" ref="AJ237:AJ256" si="50">CONCATENATE(D237,L237)</f>
        <v/>
      </c>
      <c r="AK237" s="64" t="str">
        <f t="shared" si="42"/>
        <v/>
      </c>
      <c r="AL237" s="66"/>
      <c r="AM237" s="66"/>
    </row>
    <row r="238" spans="1:39" s="67" customFormat="1" ht="24" customHeight="1" x14ac:dyDescent="0.15">
      <c r="A238" s="299">
        <v>222</v>
      </c>
      <c r="B238" s="222"/>
      <c r="C238" s="323"/>
      <c r="D238" s="222"/>
      <c r="E238" s="265"/>
      <c r="F238" s="265"/>
      <c r="G238" s="266"/>
      <c r="H238" s="324"/>
      <c r="I238" s="226"/>
      <c r="J238" s="269"/>
      <c r="K238" s="269"/>
      <c r="L238" s="155"/>
      <c r="M238" s="298"/>
      <c r="N238" s="439"/>
      <c r="O238" s="450"/>
      <c r="P238" s="121"/>
      <c r="Q238" s="121"/>
      <c r="R238" s="121"/>
      <c r="S238" s="264"/>
      <c r="T238" s="64" t="s">
        <v>28</v>
      </c>
      <c r="U238" s="64">
        <f>COUNTIF(D237:D256,"답")</f>
        <v>0</v>
      </c>
      <c r="V238" s="65">
        <f>COUNTIF(I237:I256,"답")</f>
        <v>0</v>
      </c>
      <c r="W238" s="64" t="s">
        <v>26</v>
      </c>
      <c r="X238" s="64">
        <f>SUMIF(D237:D256,"답",F237:F256)</f>
        <v>0</v>
      </c>
      <c r="Y238" s="65">
        <f>SUMIF(I237:I256,"답",K237:K256)</f>
        <v>0</v>
      </c>
      <c r="Z238" s="64">
        <f>COUNTIF(AJ237:AJ256,"답국")+COUNTIF(AJ237:AJ256,"답공")</f>
        <v>0</v>
      </c>
      <c r="AA238" s="65">
        <f>COUNTIF(AK237:AK256,"답국")+COUNTIF(AK237:AK256,"답공")</f>
        <v>0</v>
      </c>
      <c r="AB238" s="64" t="s">
        <v>26</v>
      </c>
      <c r="AC238" s="64">
        <f>SUMIF(AJ237:AJ256,"답국",F237:F256)+SUMIF(AJ237:AJ256,"답공",F237:F256)</f>
        <v>0</v>
      </c>
      <c r="AD238" s="65">
        <f>SUMIF(AK237:AK256,"답국",K237:K256)+SUMIF(AK237:AK256,"답공",K237:K256)</f>
        <v>0</v>
      </c>
      <c r="AE238" s="64">
        <f t="shared" si="48"/>
        <v>0</v>
      </c>
      <c r="AF238" s="65">
        <f t="shared" si="48"/>
        <v>0</v>
      </c>
      <c r="AG238" s="64" t="s">
        <v>26</v>
      </c>
      <c r="AH238" s="64">
        <f t="shared" si="49"/>
        <v>0</v>
      </c>
      <c r="AI238" s="65">
        <f t="shared" si="49"/>
        <v>0</v>
      </c>
      <c r="AJ238" s="64" t="str">
        <f t="shared" si="50"/>
        <v/>
      </c>
      <c r="AK238" s="64" t="str">
        <f t="shared" si="42"/>
        <v/>
      </c>
      <c r="AL238" s="66"/>
      <c r="AM238" s="66"/>
    </row>
    <row r="239" spans="1:39" s="67" customFormat="1" ht="24" customHeight="1" x14ac:dyDescent="0.15">
      <c r="A239" s="299">
        <v>223</v>
      </c>
      <c r="B239" s="222"/>
      <c r="C239" s="136"/>
      <c r="D239" s="133"/>
      <c r="E239" s="265"/>
      <c r="F239" s="265"/>
      <c r="G239" s="266"/>
      <c r="H239" s="232"/>
      <c r="I239" s="233"/>
      <c r="J239" s="269"/>
      <c r="K239" s="269"/>
      <c r="L239" s="155"/>
      <c r="M239" s="155"/>
      <c r="N239" s="439"/>
      <c r="O239" s="439"/>
      <c r="P239" s="132"/>
      <c r="Q239" s="132"/>
      <c r="R239" s="132"/>
      <c r="S239" s="264"/>
      <c r="T239" s="64" t="s">
        <v>44</v>
      </c>
      <c r="U239" s="64">
        <f>COUNTIF(D237:D256,"임")</f>
        <v>0</v>
      </c>
      <c r="V239" s="65">
        <f>COUNTIF(I237:I256,"임")</f>
        <v>0</v>
      </c>
      <c r="W239" s="64" t="s">
        <v>26</v>
      </c>
      <c r="X239" s="64">
        <f>SUMIF(D237:D256,"임",F237:F256)</f>
        <v>0</v>
      </c>
      <c r="Y239" s="65">
        <f>SUMIF(I237:I256,"임",K237:K256)</f>
        <v>0</v>
      </c>
      <c r="Z239" s="64">
        <f>COUNTIF(AJ237:AJ256,"임국")+COUNTIF(AJ237:AJ256,"임공")</f>
        <v>0</v>
      </c>
      <c r="AA239" s="65">
        <f>COUNTIF(AK237:AK256,"임국")+COUNTIF(AK237:AK256,"임공")</f>
        <v>0</v>
      </c>
      <c r="AB239" s="64" t="s">
        <v>26</v>
      </c>
      <c r="AC239" s="64">
        <f>SUMIF(AJ237:AJ256,"임국",F237:F256)+SUMIF(AJ237:AJ256,"임공",F237:F256)</f>
        <v>0</v>
      </c>
      <c r="AD239" s="65">
        <f>SUMIF(AK237:AK256,"임국",K237:K256)+SUMIF(AK237:AK256,"임공",K237:K256)</f>
        <v>0</v>
      </c>
      <c r="AE239" s="64">
        <f t="shared" si="48"/>
        <v>0</v>
      </c>
      <c r="AF239" s="65">
        <f t="shared" si="48"/>
        <v>0</v>
      </c>
      <c r="AG239" s="64" t="s">
        <v>26</v>
      </c>
      <c r="AH239" s="64">
        <f t="shared" si="49"/>
        <v>0</v>
      </c>
      <c r="AI239" s="65">
        <f t="shared" si="49"/>
        <v>0</v>
      </c>
      <c r="AJ239" s="64" t="str">
        <f t="shared" si="50"/>
        <v/>
      </c>
      <c r="AK239" s="64" t="str">
        <f t="shared" si="42"/>
        <v/>
      </c>
      <c r="AL239" s="66"/>
      <c r="AM239" s="66"/>
    </row>
    <row r="240" spans="1:39" s="67" customFormat="1" ht="24" customHeight="1" x14ac:dyDescent="0.15">
      <c r="A240" s="299">
        <v>224</v>
      </c>
      <c r="B240" s="222"/>
      <c r="C240" s="136"/>
      <c r="D240" s="133"/>
      <c r="E240" s="265"/>
      <c r="F240" s="265"/>
      <c r="G240" s="266"/>
      <c r="H240" s="232"/>
      <c r="I240" s="233"/>
      <c r="J240" s="269"/>
      <c r="K240" s="269"/>
      <c r="L240" s="155"/>
      <c r="M240" s="155"/>
      <c r="N240" s="439"/>
      <c r="O240" s="439"/>
      <c r="P240" s="132"/>
      <c r="Q240" s="132"/>
      <c r="R240" s="132"/>
      <c r="S240" s="264"/>
      <c r="T240" s="64" t="s">
        <v>45</v>
      </c>
      <c r="U240" s="64">
        <f>COUNTIF(D237:D256,"대")</f>
        <v>0</v>
      </c>
      <c r="V240" s="65">
        <f>COUNTIF(I237:I256,"대")</f>
        <v>0</v>
      </c>
      <c r="W240" s="64" t="s">
        <v>26</v>
      </c>
      <c r="X240" s="64">
        <f>SUMIF(D237:D256,"대",F237:F256)</f>
        <v>0</v>
      </c>
      <c r="Y240" s="65">
        <f>SUMIF(I237:I256,"대",K237:K256)</f>
        <v>0</v>
      </c>
      <c r="Z240" s="64">
        <f>COUNTIF(AJ237:AJ256,"대국")+COUNTIF(AJ237:AJ256,"대공")</f>
        <v>0</v>
      </c>
      <c r="AA240" s="65">
        <f>COUNTIF(AK237:AK256,"대국")+COUNTIF(AK237:AK256,"대공")</f>
        <v>0</v>
      </c>
      <c r="AB240" s="64" t="s">
        <v>26</v>
      </c>
      <c r="AC240" s="64">
        <f>SUMIF(AJ237:AJ256,"대국",F237:F256)+SUMIF(AJ237:AJ256,"대공",F237:F256)</f>
        <v>0</v>
      </c>
      <c r="AD240" s="65">
        <f>SUMIF(AK237:AK256,"대국",K237:K256)+SUMIF(AK237:AK256,"대공",K237:K256)</f>
        <v>0</v>
      </c>
      <c r="AE240" s="64">
        <f t="shared" si="48"/>
        <v>0</v>
      </c>
      <c r="AF240" s="65">
        <f t="shared" si="48"/>
        <v>0</v>
      </c>
      <c r="AG240" s="64" t="s">
        <v>26</v>
      </c>
      <c r="AH240" s="64">
        <f t="shared" si="49"/>
        <v>0</v>
      </c>
      <c r="AI240" s="65">
        <f t="shared" si="49"/>
        <v>0</v>
      </c>
      <c r="AJ240" s="64" t="str">
        <f t="shared" si="50"/>
        <v/>
      </c>
      <c r="AK240" s="64" t="str">
        <f t="shared" si="42"/>
        <v/>
      </c>
      <c r="AL240" s="66"/>
      <c r="AM240" s="66"/>
    </row>
    <row r="241" spans="1:39" s="67" customFormat="1" ht="24" customHeight="1" x14ac:dyDescent="0.15">
      <c r="A241" s="299">
        <v>225</v>
      </c>
      <c r="B241" s="222"/>
      <c r="C241" s="132"/>
      <c r="D241" s="132"/>
      <c r="E241" s="265"/>
      <c r="F241" s="265"/>
      <c r="G241" s="266"/>
      <c r="H241" s="267"/>
      <c r="I241" s="267"/>
      <c r="J241" s="269"/>
      <c r="K241" s="269"/>
      <c r="L241" s="155"/>
      <c r="M241" s="155"/>
      <c r="N241" s="439"/>
      <c r="O241" s="439"/>
      <c r="P241" s="153"/>
      <c r="Q241" s="153"/>
      <c r="R241" s="102"/>
      <c r="S241" s="276"/>
      <c r="T241" s="64" t="s">
        <v>31</v>
      </c>
      <c r="U241" s="64">
        <f>COUNTIF(D237:D256,"도")</f>
        <v>0</v>
      </c>
      <c r="V241" s="65">
        <f>COUNTIF(I237:I256,"도")</f>
        <v>0</v>
      </c>
      <c r="W241" s="64" t="s">
        <v>26</v>
      </c>
      <c r="X241" s="64">
        <f>SUMIF(D237:D256,"도",F237:F256)</f>
        <v>0</v>
      </c>
      <c r="Y241" s="65">
        <f>SUMIF(I237:I256,"도",K237:K256)</f>
        <v>0</v>
      </c>
      <c r="Z241" s="64">
        <f>COUNTIF(AJ237:AJ256,"도국")+COUNTIF(AJ237:AJ256,"도공")</f>
        <v>0</v>
      </c>
      <c r="AA241" s="65">
        <f>COUNTIF(AK237:AK256,"도국")+COUNTIF(AK237:AK256,"도공")</f>
        <v>0</v>
      </c>
      <c r="AB241" s="64" t="s">
        <v>26</v>
      </c>
      <c r="AC241" s="64">
        <f>SUMIF(AJ237:AJ256,"도국",F237:F256)+SUMIF(AJ237:AJ256,"도공",F237:F256)</f>
        <v>0</v>
      </c>
      <c r="AD241" s="65">
        <f>SUMIF(AK237:AK256,"도국",K237:K256)+SUMIF(AK237:AK256,"도공",K237:K256)</f>
        <v>0</v>
      </c>
      <c r="AE241" s="64">
        <f t="shared" si="48"/>
        <v>0</v>
      </c>
      <c r="AF241" s="65">
        <f t="shared" si="48"/>
        <v>0</v>
      </c>
      <c r="AG241" s="64" t="s">
        <v>26</v>
      </c>
      <c r="AH241" s="64">
        <f t="shared" si="49"/>
        <v>0</v>
      </c>
      <c r="AI241" s="65">
        <f t="shared" si="49"/>
        <v>0</v>
      </c>
      <c r="AJ241" s="64" t="str">
        <f t="shared" si="50"/>
        <v/>
      </c>
      <c r="AK241" s="64" t="str">
        <f t="shared" si="42"/>
        <v/>
      </c>
      <c r="AL241" s="66"/>
      <c r="AM241" s="66"/>
    </row>
    <row r="242" spans="1:39" s="67" customFormat="1" ht="24" customHeight="1" x14ac:dyDescent="0.15">
      <c r="A242" s="299">
        <v>226</v>
      </c>
      <c r="B242" s="222"/>
      <c r="C242" s="136"/>
      <c r="D242" s="133"/>
      <c r="E242" s="265"/>
      <c r="F242" s="265"/>
      <c r="G242" s="266"/>
      <c r="H242" s="232"/>
      <c r="I242" s="233"/>
      <c r="J242" s="269"/>
      <c r="K242" s="269"/>
      <c r="L242" s="155"/>
      <c r="M242" s="155"/>
      <c r="N242" s="439"/>
      <c r="O242" s="439"/>
      <c r="P242" s="102"/>
      <c r="Q242" s="132"/>
      <c r="R242" s="132"/>
      <c r="S242" s="264"/>
      <c r="T242" s="64" t="s">
        <v>32</v>
      </c>
      <c r="U242" s="68">
        <f>COUNTIF(D237:D256,"천")</f>
        <v>0</v>
      </c>
      <c r="V242" s="69">
        <f>COUNTIF(I237:I256,"천")</f>
        <v>0</v>
      </c>
      <c r="W242" s="64" t="s">
        <v>26</v>
      </c>
      <c r="X242" s="64">
        <f>SUMIF(D237:D256,"천",F237:F256)</f>
        <v>0</v>
      </c>
      <c r="Y242" s="65">
        <f>SUMIF(I237:I256,"천",K237:K256)</f>
        <v>0</v>
      </c>
      <c r="Z242" s="64">
        <f>COUNTIF(AJ237:AJ256,"천국")+COUNTIF(AJ237:AJ256,"천공")</f>
        <v>0</v>
      </c>
      <c r="AA242" s="65">
        <f>COUNTIF(AK237:AK256,"천국")+COUNTIF(AK237:AK256,"천공")</f>
        <v>0</v>
      </c>
      <c r="AB242" s="64" t="s">
        <v>26</v>
      </c>
      <c r="AC242" s="64">
        <f>SUMIF(AJ237:AJ256,"천국",F237:F256)+SUMIF(AJ237:AJ256,"천공",F237:F256)</f>
        <v>0</v>
      </c>
      <c r="AD242" s="65">
        <f>SUMIF(AK237:AK256,"천국",K237:K256)+SUMIF(AK237:AK256,"천공",K237:K256)</f>
        <v>0</v>
      </c>
      <c r="AE242" s="64">
        <f t="shared" si="48"/>
        <v>0</v>
      </c>
      <c r="AF242" s="65">
        <f t="shared" si="48"/>
        <v>0</v>
      </c>
      <c r="AG242" s="64" t="s">
        <v>26</v>
      </c>
      <c r="AH242" s="64">
        <f t="shared" si="49"/>
        <v>0</v>
      </c>
      <c r="AI242" s="65">
        <f t="shared" si="49"/>
        <v>0</v>
      </c>
      <c r="AJ242" s="64" t="str">
        <f t="shared" si="50"/>
        <v/>
      </c>
      <c r="AK242" s="64" t="str">
        <f t="shared" si="42"/>
        <v/>
      </c>
      <c r="AL242" s="66"/>
      <c r="AM242" s="66"/>
    </row>
    <row r="243" spans="1:39" s="67" customFormat="1" ht="24" customHeight="1" x14ac:dyDescent="0.15">
      <c r="A243" s="299">
        <v>227</v>
      </c>
      <c r="B243" s="222"/>
      <c r="C243" s="315"/>
      <c r="D243" s="222"/>
      <c r="E243" s="265"/>
      <c r="F243" s="265"/>
      <c r="G243" s="266"/>
      <c r="H243" s="316"/>
      <c r="I243" s="226"/>
      <c r="J243" s="269"/>
      <c r="K243" s="269"/>
      <c r="L243" s="314"/>
      <c r="M243" s="298"/>
      <c r="N243" s="453"/>
      <c r="O243" s="450"/>
      <c r="P243" s="121"/>
      <c r="Q243" s="121"/>
      <c r="R243" s="121"/>
      <c r="S243" s="264"/>
      <c r="T243" s="64" t="s">
        <v>33</v>
      </c>
      <c r="U243" s="64">
        <f>COUNTIF(D237:D256,"구")</f>
        <v>0</v>
      </c>
      <c r="V243" s="65">
        <f>COUNTIF(I237:I256,"구")</f>
        <v>0</v>
      </c>
      <c r="W243" s="64" t="s">
        <v>26</v>
      </c>
      <c r="X243" s="64">
        <f>SUMIF(D237:D256,"구",F237:F256)</f>
        <v>0</v>
      </c>
      <c r="Y243" s="65">
        <f>SUMIF(I237:I256,"구",K237:K256)</f>
        <v>0</v>
      </c>
      <c r="Z243" s="64">
        <f>COUNTIF(AJ237:AJ256,"구국")+COUNTIF(AJ237:AJ256,"구공")</f>
        <v>0</v>
      </c>
      <c r="AA243" s="65">
        <f>COUNTIF(AK237:AK256,"구국")+COUNTIF(AK237:AK256,"구공")</f>
        <v>0</v>
      </c>
      <c r="AB243" s="64" t="s">
        <v>26</v>
      </c>
      <c r="AC243" s="64">
        <f>SUMIF(AJ237:AJ256,"구국",F237:F256)+SUMIF(AJ237:AJ256,"구공",F237:F256)</f>
        <v>0</v>
      </c>
      <c r="AD243" s="65">
        <f>SUMIF(AK237:AK256,"구국",K237:K256)+SUMIF(AK237:AK256,"구공",K237:K256)</f>
        <v>0</v>
      </c>
      <c r="AE243" s="64">
        <f t="shared" si="48"/>
        <v>0</v>
      </c>
      <c r="AF243" s="65">
        <f t="shared" si="48"/>
        <v>0</v>
      </c>
      <c r="AG243" s="64" t="s">
        <v>26</v>
      </c>
      <c r="AH243" s="64">
        <f t="shared" si="49"/>
        <v>0</v>
      </c>
      <c r="AI243" s="65">
        <f t="shared" si="49"/>
        <v>0</v>
      </c>
      <c r="AJ243" s="64" t="str">
        <f t="shared" si="50"/>
        <v/>
      </c>
      <c r="AK243" s="64" t="str">
        <f t="shared" si="42"/>
        <v/>
      </c>
      <c r="AL243" s="66"/>
      <c r="AM243" s="66"/>
    </row>
    <row r="244" spans="1:39" s="67" customFormat="1" ht="24" customHeight="1" x14ac:dyDescent="0.15">
      <c r="A244" s="299">
        <v>228</v>
      </c>
      <c r="B244" s="222"/>
      <c r="C244" s="315"/>
      <c r="D244" s="222"/>
      <c r="E244" s="134"/>
      <c r="F244" s="134"/>
      <c r="G244" s="266"/>
      <c r="H244" s="316"/>
      <c r="I244" s="316"/>
      <c r="J244" s="266"/>
      <c r="K244" s="266"/>
      <c r="L244" s="155"/>
      <c r="M244" s="298"/>
      <c r="N244" s="439"/>
      <c r="O244" s="450"/>
      <c r="P244" s="121"/>
      <c r="Q244" s="121"/>
      <c r="R244" s="121"/>
      <c r="S244" s="264"/>
      <c r="T244" s="64" t="s">
        <v>34</v>
      </c>
      <c r="U244" s="64">
        <f>COUNTIF(D237:D256,"제")</f>
        <v>0</v>
      </c>
      <c r="V244" s="65">
        <f>COUNTIF(I237:I256,"제")</f>
        <v>0</v>
      </c>
      <c r="W244" s="64" t="s">
        <v>26</v>
      </c>
      <c r="X244" s="64">
        <f>SUMIF(D237:D256,"제",F237:F256)</f>
        <v>0</v>
      </c>
      <c r="Y244" s="65">
        <f>SUMIF(I237:I256,"제",K237:K256)</f>
        <v>0</v>
      </c>
      <c r="Z244" s="64">
        <f>COUNTIF(AJ237:AJ256,"제국")+COUNTIF(AJ237:AJ256,"제공")</f>
        <v>0</v>
      </c>
      <c r="AA244" s="65">
        <f>COUNTIF(AK237:AK256,"제국")+COUNTIF(AK237:AK256,"제공")</f>
        <v>0</v>
      </c>
      <c r="AB244" s="64" t="s">
        <v>26</v>
      </c>
      <c r="AC244" s="64">
        <f>SUMIF(AJ237:AJ256,"제국",F237:F256)+SUMIF(AJ237:AJ256,"제공",F237:F256)</f>
        <v>0</v>
      </c>
      <c r="AD244" s="65">
        <f>SUMIF(AK237:AK256,"제국",K237:K256)+SUMIF(AK237:AK256,"제공",K237:K256)</f>
        <v>0</v>
      </c>
      <c r="AE244" s="64">
        <f t="shared" si="48"/>
        <v>0</v>
      </c>
      <c r="AF244" s="65">
        <f t="shared" si="48"/>
        <v>0</v>
      </c>
      <c r="AG244" s="64" t="s">
        <v>26</v>
      </c>
      <c r="AH244" s="64">
        <f t="shared" si="49"/>
        <v>0</v>
      </c>
      <c r="AI244" s="65">
        <f t="shared" si="49"/>
        <v>0</v>
      </c>
      <c r="AJ244" s="64" t="str">
        <f t="shared" si="50"/>
        <v/>
      </c>
      <c r="AK244" s="64" t="str">
        <f t="shared" si="42"/>
        <v/>
      </c>
      <c r="AL244" s="66"/>
      <c r="AM244" s="66"/>
    </row>
    <row r="245" spans="1:39" s="67" customFormat="1" ht="24" customHeight="1" x14ac:dyDescent="0.15">
      <c r="A245" s="299">
        <v>229</v>
      </c>
      <c r="B245" s="222"/>
      <c r="C245" s="132"/>
      <c r="D245" s="133"/>
      <c r="E245" s="230"/>
      <c r="F245" s="265"/>
      <c r="G245" s="224"/>
      <c r="H245" s="267"/>
      <c r="I245" s="233"/>
      <c r="J245" s="231"/>
      <c r="K245" s="269"/>
      <c r="L245" s="155"/>
      <c r="M245" s="298"/>
      <c r="N245" s="439"/>
      <c r="O245" s="450"/>
      <c r="P245" s="132"/>
      <c r="Q245" s="132"/>
      <c r="R245" s="132"/>
      <c r="S245" s="206"/>
      <c r="T245" s="64" t="s">
        <v>46</v>
      </c>
      <c r="U245" s="64">
        <f>COUNTIF(D237:D256,"유")</f>
        <v>0</v>
      </c>
      <c r="V245" s="65">
        <f>COUNTIF(I237:I256,"유")</f>
        <v>0</v>
      </c>
      <c r="W245" s="64" t="s">
        <v>26</v>
      </c>
      <c r="X245" s="64">
        <f>SUMIF(D237:D256,"유",F237:F256)</f>
        <v>0</v>
      </c>
      <c r="Y245" s="65">
        <f>SUMIF(I237:I256,"유",K237:K256)</f>
        <v>0</v>
      </c>
      <c r="Z245" s="64">
        <f>COUNTIF(AJ237:AJ256,"유국")+COUNTIF(AJ237:AJ256,"유공")</f>
        <v>0</v>
      </c>
      <c r="AA245" s="65">
        <f>COUNTIF(AK237:AK256,"유국")+COUNTIF(AK237:AK256,"유공")</f>
        <v>0</v>
      </c>
      <c r="AB245" s="64" t="s">
        <v>26</v>
      </c>
      <c r="AC245" s="64">
        <f>SUMIF(AJ237:AJ256,"유국",F237:F256)+SUMIF(AJ237:AJ256,"유공",F237:F256)</f>
        <v>0</v>
      </c>
      <c r="AD245" s="65">
        <f>SUMIF(AK237:AK256,"유국",K237:K256)+SUMIF(AK237:AK256,"유공",K237:K256)</f>
        <v>0</v>
      </c>
      <c r="AE245" s="64">
        <f t="shared" si="48"/>
        <v>0</v>
      </c>
      <c r="AF245" s="65">
        <f t="shared" si="48"/>
        <v>0</v>
      </c>
      <c r="AG245" s="64" t="s">
        <v>26</v>
      </c>
      <c r="AH245" s="64">
        <f t="shared" si="49"/>
        <v>0</v>
      </c>
      <c r="AI245" s="65">
        <f t="shared" si="49"/>
        <v>0</v>
      </c>
      <c r="AJ245" s="64" t="str">
        <f t="shared" si="50"/>
        <v/>
      </c>
      <c r="AK245" s="64" t="str">
        <f t="shared" si="42"/>
        <v/>
      </c>
      <c r="AL245" s="66"/>
      <c r="AM245" s="66"/>
    </row>
    <row r="246" spans="1:39" s="67" customFormat="1" ht="24" customHeight="1" x14ac:dyDescent="0.15">
      <c r="A246" s="299">
        <v>230</v>
      </c>
      <c r="B246" s="222"/>
      <c r="C246" s="132"/>
      <c r="D246" s="161"/>
      <c r="E246" s="286"/>
      <c r="F246" s="265"/>
      <c r="G246" s="287"/>
      <c r="H246" s="267"/>
      <c r="I246" s="268"/>
      <c r="J246" s="288"/>
      <c r="K246" s="269"/>
      <c r="L246" s="155"/>
      <c r="M246" s="298"/>
      <c r="N246" s="439"/>
      <c r="O246" s="450"/>
      <c r="P246" s="132"/>
      <c r="Q246" s="132"/>
      <c r="R246" s="132"/>
      <c r="S246" s="264"/>
      <c r="T246" s="64" t="s">
        <v>47</v>
      </c>
      <c r="U246" s="64">
        <f>COUNTIF(D237:D256,"과")</f>
        <v>0</v>
      </c>
      <c r="V246" s="65">
        <f>COUNTIF(I237:I256,"과")</f>
        <v>0</v>
      </c>
      <c r="W246" s="64" t="s">
        <v>26</v>
      </c>
      <c r="X246" s="64">
        <f>SUMIF(D237:D256,"과",F237:F256)</f>
        <v>0</v>
      </c>
      <c r="Y246" s="65">
        <f>SUMIF(I237:I256,"과",K237:K256)</f>
        <v>0</v>
      </c>
      <c r="Z246" s="64">
        <f>COUNTIF(AJ237:AJ256,"과국")+COUNTIF(AJ237:AJ256,"과공")</f>
        <v>0</v>
      </c>
      <c r="AA246" s="65">
        <f>COUNTIF(AK237:AK256,"과국")+COUNTIF(AK237:AK256,"과공")</f>
        <v>0</v>
      </c>
      <c r="AB246" s="64" t="s">
        <v>26</v>
      </c>
      <c r="AC246" s="64">
        <f>SUMIF(AJ237:AJ256,"과국",F237:F256)+SUMIF(AJ237:AJ256,"과공",F237:F256)</f>
        <v>0</v>
      </c>
      <c r="AD246" s="65">
        <f>SUMIF(AK237:AK256,"과국",K237:K256)+SUMIF(AK237:AK256,"과공",K237:K256)</f>
        <v>0</v>
      </c>
      <c r="AE246" s="64">
        <f t="shared" si="48"/>
        <v>0</v>
      </c>
      <c r="AF246" s="65">
        <f t="shared" si="48"/>
        <v>0</v>
      </c>
      <c r="AG246" s="64" t="s">
        <v>26</v>
      </c>
      <c r="AH246" s="64">
        <f t="shared" si="49"/>
        <v>0</v>
      </c>
      <c r="AI246" s="65">
        <f t="shared" si="49"/>
        <v>0</v>
      </c>
      <c r="AJ246" s="64" t="str">
        <f t="shared" si="50"/>
        <v/>
      </c>
      <c r="AK246" s="64" t="str">
        <f t="shared" si="42"/>
        <v/>
      </c>
      <c r="AL246" s="66"/>
      <c r="AM246" s="66"/>
    </row>
    <row r="247" spans="1:39" s="67" customFormat="1" ht="24" customHeight="1" x14ac:dyDescent="0.15">
      <c r="A247" s="299">
        <v>231</v>
      </c>
      <c r="B247" s="222"/>
      <c r="C247" s="136"/>
      <c r="D247" s="133"/>
      <c r="E247" s="230"/>
      <c r="F247" s="265"/>
      <c r="G247" s="224"/>
      <c r="H247" s="232"/>
      <c r="I247" s="233"/>
      <c r="J247" s="231"/>
      <c r="K247" s="269"/>
      <c r="L247" s="155"/>
      <c r="M247" s="298"/>
      <c r="N247" s="439"/>
      <c r="O247" s="450"/>
      <c r="P247" s="132"/>
      <c r="Q247" s="132"/>
      <c r="R247" s="132"/>
      <c r="S247" s="206"/>
      <c r="T247" s="64" t="s">
        <v>36</v>
      </c>
      <c r="U247" s="64">
        <f>COUNTIF(D237:D256,"묘")</f>
        <v>0</v>
      </c>
      <c r="V247" s="65">
        <f>COUNTIF(I237:I256,"묘")</f>
        <v>0</v>
      </c>
      <c r="W247" s="64" t="s">
        <v>26</v>
      </c>
      <c r="X247" s="64">
        <f>SUMIF(D237:D256,"묘",F237:F256)</f>
        <v>0</v>
      </c>
      <c r="Y247" s="65">
        <f>SUMIF(I237:I256,"묘",K237:K256)</f>
        <v>0</v>
      </c>
      <c r="Z247" s="64">
        <f>COUNTIF(AJ237:AJ256,"묘국")+COUNTIF(AJ237:AJ256,"묘공")</f>
        <v>0</v>
      </c>
      <c r="AA247" s="65">
        <f>COUNTIF(AK237:AK256,"묘국")+COUNTIF(AK237:AK256,"묘공")</f>
        <v>0</v>
      </c>
      <c r="AB247" s="64" t="s">
        <v>26</v>
      </c>
      <c r="AC247" s="64">
        <f>SUMIF(AJ237:AJ256,"묘국",F237:F256)+SUMIF(AJ237:AJ256,"묘공",F237:F256)</f>
        <v>0</v>
      </c>
      <c r="AD247" s="65">
        <f>SUMIF(AK237:AK256,"묘국",K237:K256)+SUMIF(AK237:AK256,"묘공",K237:K256)</f>
        <v>0</v>
      </c>
      <c r="AE247" s="64">
        <f t="shared" si="48"/>
        <v>0</v>
      </c>
      <c r="AF247" s="65">
        <f t="shared" si="48"/>
        <v>0</v>
      </c>
      <c r="AG247" s="64" t="s">
        <v>26</v>
      </c>
      <c r="AH247" s="64">
        <f t="shared" si="49"/>
        <v>0</v>
      </c>
      <c r="AI247" s="65">
        <f t="shared" si="49"/>
        <v>0</v>
      </c>
      <c r="AJ247" s="64" t="str">
        <f t="shared" si="50"/>
        <v/>
      </c>
      <c r="AK247" s="64" t="str">
        <f t="shared" si="42"/>
        <v/>
      </c>
      <c r="AL247" s="66"/>
      <c r="AM247" s="66"/>
    </row>
    <row r="248" spans="1:39" s="67" customFormat="1" ht="24" customHeight="1" x14ac:dyDescent="0.15">
      <c r="A248" s="299">
        <v>232</v>
      </c>
      <c r="B248" s="222"/>
      <c r="C248" s="132"/>
      <c r="D248" s="274"/>
      <c r="E248" s="265"/>
      <c r="F248" s="265"/>
      <c r="G248" s="266"/>
      <c r="H248" s="267"/>
      <c r="I248" s="275"/>
      <c r="J248" s="269"/>
      <c r="K248" s="269"/>
      <c r="L248" s="155"/>
      <c r="M248" s="481"/>
      <c r="N248" s="439"/>
      <c r="O248" s="450"/>
      <c r="P248" s="132"/>
      <c r="Q248" s="132"/>
      <c r="R248" s="132"/>
      <c r="S248" s="264"/>
      <c r="T248" s="64" t="s">
        <v>39</v>
      </c>
      <c r="U248" s="64">
        <f>COUNTIF(D237:D256,"수")</f>
        <v>0</v>
      </c>
      <c r="V248" s="65">
        <f>COUNTIF(I237:I256,"수")</f>
        <v>0</v>
      </c>
      <c r="W248" s="64" t="s">
        <v>26</v>
      </c>
      <c r="X248" s="64">
        <f>SUMIF(D237:D256,"수",F237:F256)</f>
        <v>0</v>
      </c>
      <c r="Y248" s="65">
        <f>SUMIF(I237:I256,"수",K237:K256)</f>
        <v>0</v>
      </c>
      <c r="Z248" s="64">
        <f>COUNTIF(AJ237:AJ256,"수국")+COUNTIF(AJ237:AJ256,"수공")</f>
        <v>0</v>
      </c>
      <c r="AA248" s="65">
        <f>COUNTIF(AK237:AK256,"수국")+COUNTIF(AK237:AK256,"수공")</f>
        <v>0</v>
      </c>
      <c r="AB248" s="64" t="s">
        <v>26</v>
      </c>
      <c r="AC248" s="64">
        <f>SUMIF(AJ237:AJ256,"수국",F237:F256)+SUMIF(AJ237:AJ256,"수공",F237:F256)</f>
        <v>0</v>
      </c>
      <c r="AD248" s="65">
        <f>SUMIF(AK237:AK256,"수국",K237:K256)+SUMIF(AK237:AK256,"수공",K237:K256)</f>
        <v>0</v>
      </c>
      <c r="AE248" s="64">
        <f t="shared" si="48"/>
        <v>0</v>
      </c>
      <c r="AF248" s="65">
        <f t="shared" si="48"/>
        <v>0</v>
      </c>
      <c r="AG248" s="64" t="s">
        <v>26</v>
      </c>
      <c r="AH248" s="64">
        <f t="shared" si="49"/>
        <v>0</v>
      </c>
      <c r="AI248" s="65">
        <f t="shared" si="49"/>
        <v>0</v>
      </c>
      <c r="AJ248" s="64" t="str">
        <f t="shared" si="50"/>
        <v/>
      </c>
      <c r="AK248" s="64" t="str">
        <f t="shared" si="42"/>
        <v/>
      </c>
      <c r="AL248" s="66"/>
      <c r="AM248" s="66"/>
    </row>
    <row r="249" spans="1:39" s="67" customFormat="1" ht="24" customHeight="1" x14ac:dyDescent="0.15">
      <c r="A249" s="299">
        <v>233</v>
      </c>
      <c r="B249" s="222"/>
      <c r="C249" s="132"/>
      <c r="D249" s="132"/>
      <c r="E249" s="265"/>
      <c r="F249" s="265"/>
      <c r="G249" s="266"/>
      <c r="H249" s="267"/>
      <c r="I249" s="267"/>
      <c r="J249" s="269"/>
      <c r="K249" s="269"/>
      <c r="L249" s="102"/>
      <c r="M249" s="138"/>
      <c r="N249" s="455"/>
      <c r="O249" s="455"/>
      <c r="P249" s="132"/>
      <c r="Q249" s="132"/>
      <c r="R249" s="132"/>
      <c r="S249" s="264"/>
      <c r="T249" s="64" t="s">
        <v>35</v>
      </c>
      <c r="U249" s="64">
        <f>COUNTIF(D237:D256,"잡")</f>
        <v>0</v>
      </c>
      <c r="V249" s="65">
        <f>COUNTIF(I237:I256,"잡")</f>
        <v>0</v>
      </c>
      <c r="W249" s="64" t="s">
        <v>26</v>
      </c>
      <c r="X249" s="64">
        <f>SUMIF(D237:D256,"잡",F237:F256)</f>
        <v>0</v>
      </c>
      <c r="Y249" s="65">
        <f>SUMIF(I237:I256,"잡",K237:K256)</f>
        <v>0</v>
      </c>
      <c r="Z249" s="64">
        <f>COUNTIF(AJ237:AJ256,"잡국")+COUNTIF(AJ237:AJ256,"잡공")</f>
        <v>0</v>
      </c>
      <c r="AA249" s="65">
        <f>COUNTIF(AK237:AK256,"잡국")+COUNTIF(AK237:AK256,"잡공")</f>
        <v>0</v>
      </c>
      <c r="AB249" s="64" t="s">
        <v>26</v>
      </c>
      <c r="AC249" s="64">
        <f>SUMIF(AJ237:AJ256,"잡국",F237:F256)+SUMIF(AJ237:AJ256,"잡공",F237:F256)</f>
        <v>0</v>
      </c>
      <c r="AD249" s="65">
        <f>SUMIF(AK237:AK256,"잡국",K237:K256)+SUMIF(AK237:AK256,"잡공",K237:K256)</f>
        <v>0</v>
      </c>
      <c r="AE249" s="64">
        <f t="shared" si="48"/>
        <v>0</v>
      </c>
      <c r="AF249" s="65">
        <f t="shared" si="48"/>
        <v>0</v>
      </c>
      <c r="AG249" s="64" t="s">
        <v>26</v>
      </c>
      <c r="AH249" s="64">
        <f t="shared" si="49"/>
        <v>0</v>
      </c>
      <c r="AI249" s="65">
        <f t="shared" si="49"/>
        <v>0</v>
      </c>
      <c r="AJ249" s="64" t="str">
        <f t="shared" si="50"/>
        <v/>
      </c>
      <c r="AK249" s="64" t="str">
        <f t="shared" si="42"/>
        <v/>
      </c>
      <c r="AL249" s="66"/>
      <c r="AM249" s="66"/>
    </row>
    <row r="250" spans="1:39" s="67" customFormat="1" ht="24" customHeight="1" x14ac:dyDescent="0.15">
      <c r="A250" s="299">
        <v>234</v>
      </c>
      <c r="B250" s="222"/>
      <c r="C250" s="136"/>
      <c r="D250" s="133"/>
      <c r="E250" s="230"/>
      <c r="F250" s="265"/>
      <c r="G250" s="224"/>
      <c r="H250" s="232"/>
      <c r="I250" s="233"/>
      <c r="J250" s="231"/>
      <c r="K250" s="269"/>
      <c r="L250" s="128"/>
      <c r="M250" s="128"/>
      <c r="N250" s="425"/>
      <c r="O250" s="425"/>
      <c r="P250" s="153"/>
      <c r="Q250" s="153"/>
      <c r="R250" s="102"/>
      <c r="S250" s="206"/>
      <c r="T250" s="64" t="s">
        <v>195</v>
      </c>
      <c r="U250" s="64">
        <f>COUNTIF(D237:D256,"창")</f>
        <v>0</v>
      </c>
      <c r="V250" s="65">
        <f>COUNTIF(I237:I256,"창")</f>
        <v>0</v>
      </c>
      <c r="W250" s="64" t="s">
        <v>26</v>
      </c>
      <c r="X250" s="64">
        <f>SUMIF(D237:D256,"창",F237:F256)</f>
        <v>0</v>
      </c>
      <c r="Y250" s="65">
        <f>SUMIF(I237:I256,"창",K237:K256)</f>
        <v>0</v>
      </c>
      <c r="Z250" s="64">
        <f>COUNTIF(AJ237:AJ256,"창국")+COUNTIF(AJ237:AJ256,"창공")</f>
        <v>0</v>
      </c>
      <c r="AA250" s="65">
        <f>COUNTIF(AK237:AK256,"창국")+COUNTIF(AK237:AK256,"창공")</f>
        <v>0</v>
      </c>
      <c r="AB250" s="64" t="s">
        <v>26</v>
      </c>
      <c r="AC250" s="64">
        <f>SUMIF(AJ237:AJ256,"창국",F237:F256)+SUMIF(AJ237:AJ256,"창공",F237:F256)</f>
        <v>0</v>
      </c>
      <c r="AD250" s="65">
        <f>SUMIF(AK237:AK256,"창국",K237:K256)+SUMIF(AK237:AK256,"창공",K237:K256)</f>
        <v>0</v>
      </c>
      <c r="AE250" s="64">
        <f t="shared" si="48"/>
        <v>0</v>
      </c>
      <c r="AF250" s="65">
        <f t="shared" si="48"/>
        <v>0</v>
      </c>
      <c r="AG250" s="64" t="s">
        <v>26</v>
      </c>
      <c r="AH250" s="64">
        <f t="shared" si="49"/>
        <v>0</v>
      </c>
      <c r="AI250" s="65">
        <f t="shared" si="49"/>
        <v>0</v>
      </c>
      <c r="AJ250" s="64" t="str">
        <f t="shared" si="50"/>
        <v/>
      </c>
      <c r="AK250" s="64" t="str">
        <f t="shared" si="42"/>
        <v/>
      </c>
      <c r="AL250" s="66"/>
      <c r="AM250" s="66"/>
    </row>
    <row r="251" spans="1:39" s="67" customFormat="1" ht="24" customHeight="1" x14ac:dyDescent="0.15">
      <c r="A251" s="299">
        <v>235</v>
      </c>
      <c r="B251" s="222"/>
      <c r="C251" s="132"/>
      <c r="D251" s="274"/>
      <c r="E251" s="230"/>
      <c r="F251" s="265"/>
      <c r="G251" s="224"/>
      <c r="H251" s="267"/>
      <c r="I251" s="275"/>
      <c r="J251" s="231"/>
      <c r="K251" s="269"/>
      <c r="L251" s="128"/>
      <c r="M251" s="128"/>
      <c r="N251" s="425"/>
      <c r="O251" s="425"/>
      <c r="P251" s="132"/>
      <c r="Q251" s="132"/>
      <c r="R251" s="132"/>
      <c r="S251" s="206"/>
      <c r="T251" s="64" t="s">
        <v>194</v>
      </c>
      <c r="U251" s="64">
        <f>COUNTIF(D237:D256,"장")</f>
        <v>0</v>
      </c>
      <c r="V251" s="65">
        <f>COUNTIF(I237:I256,"장")</f>
        <v>0</v>
      </c>
      <c r="W251" s="64" t="s">
        <v>26</v>
      </c>
      <c r="X251" s="64">
        <f>SUMIF(D237:D256,"장",F237:F256)</f>
        <v>0</v>
      </c>
      <c r="Y251" s="65">
        <f>SUMIF(I237:I256,"장",K237:K256)</f>
        <v>0</v>
      </c>
      <c r="Z251" s="64">
        <f>COUNTIF(AJ237:AJ256,"장국")+COUNTIF(AJ237:AJ256,"장장")</f>
        <v>0</v>
      </c>
      <c r="AA251" s="65">
        <f>COUNTIF(AK237:AK256,"장국")+COUNTIF(AK237:AK256,"장장")</f>
        <v>0</v>
      </c>
      <c r="AB251" s="64" t="s">
        <v>26</v>
      </c>
      <c r="AC251" s="64">
        <f>SUMIF(AJ237:AJ256,"장국",F237:F256)+SUMIF(AJ237:AJ256,"장장",F237:F256)</f>
        <v>0</v>
      </c>
      <c r="AD251" s="65">
        <f>SUMIF(AK237:AK256,"장국",K237:K256)+SUMIF(AK237:AK256,"장장",K237:K256)</f>
        <v>0</v>
      </c>
      <c r="AE251" s="64">
        <f t="shared" si="48"/>
        <v>0</v>
      </c>
      <c r="AF251" s="65">
        <f t="shared" si="48"/>
        <v>0</v>
      </c>
      <c r="AG251" s="64" t="s">
        <v>26</v>
      </c>
      <c r="AH251" s="64">
        <f t="shared" si="49"/>
        <v>0</v>
      </c>
      <c r="AI251" s="65">
        <f t="shared" si="49"/>
        <v>0</v>
      </c>
      <c r="AJ251" s="64" t="str">
        <f t="shared" si="50"/>
        <v/>
      </c>
      <c r="AK251" s="64" t="str">
        <f t="shared" si="42"/>
        <v/>
      </c>
      <c r="AL251" s="66"/>
      <c r="AM251" s="66"/>
    </row>
    <row r="252" spans="1:39" s="67" customFormat="1" ht="24" customHeight="1" x14ac:dyDescent="0.15">
      <c r="A252" s="299">
        <v>236</v>
      </c>
      <c r="B252" s="222"/>
      <c r="C252" s="132"/>
      <c r="D252" s="132"/>
      <c r="E252" s="265"/>
      <c r="F252" s="265"/>
      <c r="G252" s="266"/>
      <c r="H252" s="267"/>
      <c r="I252" s="267"/>
      <c r="J252" s="269"/>
      <c r="K252" s="269"/>
      <c r="L252" s="102"/>
      <c r="M252" s="102"/>
      <c r="N252" s="455"/>
      <c r="O252" s="455"/>
      <c r="P252" s="161"/>
      <c r="Q252" s="161"/>
      <c r="R252" s="161"/>
      <c r="S252" s="264"/>
      <c r="T252" s="70" t="s">
        <v>193</v>
      </c>
      <c r="U252" s="64">
        <f>COUNTIF(D237:D256,"학")</f>
        <v>0</v>
      </c>
      <c r="V252" s="65">
        <f>COUNTIF(I237:I256,"학")</f>
        <v>0</v>
      </c>
      <c r="W252" s="64" t="s">
        <v>26</v>
      </c>
      <c r="X252" s="64">
        <f>SUMIF(D237:D256,"학",F237:F256)</f>
        <v>0</v>
      </c>
      <c r="Y252" s="65">
        <f>SUMIF(I237:I256,"학",K237:K256)</f>
        <v>0</v>
      </c>
      <c r="Z252" s="64">
        <f>COUNTIF(AJ237:AJ256,"학국")+COUNTIF(AJ237:AJ256,"학공")</f>
        <v>0</v>
      </c>
      <c r="AA252" s="65">
        <f>COUNTIF(AK237:AK256,"학국")+COUNTIF(AK237:AK256,"학공")</f>
        <v>0</v>
      </c>
      <c r="AB252" s="64" t="s">
        <v>26</v>
      </c>
      <c r="AC252" s="64">
        <f>SUMIF(AJ237:AJ256,"학국",F237:F256)+SUMIF(AJ237:AJ256,"학공",F237:F256)</f>
        <v>0</v>
      </c>
      <c r="AD252" s="65">
        <f>SUMIF(AK237:AK256,"학국",K237:K256)+SUMIF(AK237:AK256,"학공",K237:K256)</f>
        <v>0</v>
      </c>
      <c r="AE252" s="64">
        <f t="shared" si="48"/>
        <v>0</v>
      </c>
      <c r="AF252" s="65">
        <f t="shared" si="48"/>
        <v>0</v>
      </c>
      <c r="AG252" s="64" t="s">
        <v>26</v>
      </c>
      <c r="AH252" s="64">
        <f t="shared" si="49"/>
        <v>0</v>
      </c>
      <c r="AI252" s="65">
        <f t="shared" si="49"/>
        <v>0</v>
      </c>
      <c r="AJ252" s="64" t="str">
        <f t="shared" si="50"/>
        <v/>
      </c>
      <c r="AK252" s="64" t="str">
        <f t="shared" si="42"/>
        <v/>
      </c>
      <c r="AL252" s="66"/>
      <c r="AM252" s="66"/>
    </row>
    <row r="253" spans="1:39" s="67" customFormat="1" ht="24" customHeight="1" x14ac:dyDescent="0.15">
      <c r="A253" s="299">
        <v>237</v>
      </c>
      <c r="B253" s="222"/>
      <c r="C253" s="132"/>
      <c r="D253" s="132"/>
      <c r="E253" s="265"/>
      <c r="F253" s="265"/>
      <c r="G253" s="266"/>
      <c r="H253" s="267"/>
      <c r="I253" s="267"/>
      <c r="J253" s="269"/>
      <c r="K253" s="269"/>
      <c r="L253" s="102"/>
      <c r="M253" s="102"/>
      <c r="N253" s="455"/>
      <c r="O253" s="455"/>
      <c r="P253" s="161"/>
      <c r="Q253" s="161"/>
      <c r="R253" s="161"/>
      <c r="S253" s="264"/>
      <c r="T253" s="70" t="s">
        <v>79</v>
      </c>
      <c r="U253" s="64">
        <f>COUNTIF(D237:D256,"목")</f>
        <v>0</v>
      </c>
      <c r="V253" s="65">
        <f>COUNTIF(I237:I256,"목")</f>
        <v>0</v>
      </c>
      <c r="W253" s="64" t="s">
        <v>26</v>
      </c>
      <c r="X253" s="64">
        <f>SUMIF(D237:D256,"목",F237:F256)</f>
        <v>0</v>
      </c>
      <c r="Y253" s="65">
        <f>SUMIF(I237:I256,"목",K237:K256)</f>
        <v>0</v>
      </c>
      <c r="Z253" s="64">
        <f>COUNTIF(AJ237:AJ256,"목국")+COUNTIF(AJ237:AJ256,"목공")</f>
        <v>0</v>
      </c>
      <c r="AA253" s="65">
        <f>COUNTIF(AK237:AK256,"목국")+COUNTIF(AK237:AK256,"목공")</f>
        <v>0</v>
      </c>
      <c r="AB253" s="64" t="s">
        <v>26</v>
      </c>
      <c r="AC253" s="64">
        <f>SUMIF(AJ237:AJ256,"목국",F237:F256)+SUMIF(AJ237:AJ256,"목공",F237:F256)</f>
        <v>0</v>
      </c>
      <c r="AD253" s="65">
        <f>SUMIF(AK237:AK256,"목국",K237:K256)+SUMIF(AK237:AK256,"목공",K237:K256)</f>
        <v>0</v>
      </c>
      <c r="AE253" s="64">
        <f t="shared" si="48"/>
        <v>0</v>
      </c>
      <c r="AF253" s="65">
        <f t="shared" si="48"/>
        <v>0</v>
      </c>
      <c r="AG253" s="64" t="s">
        <v>26</v>
      </c>
      <c r="AH253" s="64">
        <f t="shared" si="49"/>
        <v>0</v>
      </c>
      <c r="AI253" s="65">
        <f t="shared" si="49"/>
        <v>0</v>
      </c>
      <c r="AJ253" s="64" t="str">
        <f t="shared" si="50"/>
        <v/>
      </c>
      <c r="AK253" s="64" t="str">
        <f t="shared" si="42"/>
        <v/>
      </c>
      <c r="AL253" s="66"/>
      <c r="AM253" s="66"/>
    </row>
    <row r="254" spans="1:39" s="67" customFormat="1" ht="24" customHeight="1" x14ac:dyDescent="0.15">
      <c r="A254" s="299">
        <v>238</v>
      </c>
      <c r="B254" s="222"/>
      <c r="C254" s="132"/>
      <c r="D254" s="132"/>
      <c r="E254" s="286"/>
      <c r="F254" s="265"/>
      <c r="G254" s="287"/>
      <c r="H254" s="267"/>
      <c r="I254" s="267"/>
      <c r="J254" s="402"/>
      <c r="K254" s="269"/>
      <c r="L254" s="102"/>
      <c r="M254" s="102"/>
      <c r="N254" s="455"/>
      <c r="O254" s="455"/>
      <c r="P254" s="132"/>
      <c r="Q254" s="132"/>
      <c r="R254" s="132"/>
      <c r="S254" s="264"/>
      <c r="T254" s="70"/>
      <c r="U254" s="70"/>
      <c r="V254" s="71"/>
      <c r="W254" s="70"/>
      <c r="X254" s="70"/>
      <c r="Y254" s="71"/>
      <c r="Z254" s="64"/>
      <c r="AA254" s="65"/>
      <c r="AB254" s="70"/>
      <c r="AC254" s="64"/>
      <c r="AD254" s="65"/>
      <c r="AE254" s="70"/>
      <c r="AF254" s="71"/>
      <c r="AG254" s="70"/>
      <c r="AH254" s="70"/>
      <c r="AI254" s="71"/>
      <c r="AJ254" s="64" t="str">
        <f t="shared" si="50"/>
        <v/>
      </c>
      <c r="AK254" s="64" t="str">
        <f t="shared" si="42"/>
        <v/>
      </c>
      <c r="AL254" s="66"/>
      <c r="AM254" s="66"/>
    </row>
    <row r="255" spans="1:39" s="67" customFormat="1" ht="24" customHeight="1" x14ac:dyDescent="0.15">
      <c r="A255" s="299">
        <v>239</v>
      </c>
      <c r="B255" s="222"/>
      <c r="C255" s="136"/>
      <c r="D255" s="133"/>
      <c r="E255" s="134"/>
      <c r="F255" s="135"/>
      <c r="G255" s="224"/>
      <c r="H255" s="226"/>
      <c r="I255" s="226"/>
      <c r="J255" s="227"/>
      <c r="K255" s="227"/>
      <c r="L255" s="128"/>
      <c r="M255" s="128"/>
      <c r="N255" s="425"/>
      <c r="O255" s="425"/>
      <c r="P255" s="132"/>
      <c r="Q255" s="102"/>
      <c r="R255" s="132"/>
      <c r="S255" s="206"/>
      <c r="T255" s="70"/>
      <c r="U255" s="70"/>
      <c r="V255" s="71"/>
      <c r="W255" s="70"/>
      <c r="X255" s="70"/>
      <c r="Y255" s="71"/>
      <c r="Z255" s="64"/>
      <c r="AA255" s="65"/>
      <c r="AB255" s="70"/>
      <c r="AC255" s="64"/>
      <c r="AD255" s="65"/>
      <c r="AE255" s="70"/>
      <c r="AF255" s="71"/>
      <c r="AG255" s="70"/>
      <c r="AH255" s="70"/>
      <c r="AI255" s="71"/>
      <c r="AJ255" s="64" t="str">
        <f t="shared" si="50"/>
        <v/>
      </c>
      <c r="AK255" s="64" t="str">
        <f t="shared" si="42"/>
        <v/>
      </c>
      <c r="AL255" s="66"/>
      <c r="AM255" s="66"/>
    </row>
    <row r="256" spans="1:39" s="67" customFormat="1" ht="24" customHeight="1" x14ac:dyDescent="0.15">
      <c r="A256" s="299">
        <v>240</v>
      </c>
      <c r="B256" s="222"/>
      <c r="C256" s="136"/>
      <c r="D256" s="133"/>
      <c r="E256" s="134"/>
      <c r="F256" s="135"/>
      <c r="G256" s="224"/>
      <c r="H256" s="225"/>
      <c r="I256" s="226"/>
      <c r="J256" s="227"/>
      <c r="K256" s="227"/>
      <c r="L256" s="128"/>
      <c r="M256" s="137"/>
      <c r="N256" s="425"/>
      <c r="O256" s="425"/>
      <c r="P256" s="138"/>
      <c r="Q256" s="102"/>
      <c r="R256" s="102"/>
      <c r="S256" s="206"/>
      <c r="T256" s="72" t="s">
        <v>37</v>
      </c>
      <c r="U256" s="72">
        <f>COUNTIF(D237:D256,"철")</f>
        <v>0</v>
      </c>
      <c r="V256" s="73">
        <f>COUNTIF(I237:I256,"철")</f>
        <v>0</v>
      </c>
      <c r="W256" s="72" t="s">
        <v>26</v>
      </c>
      <c r="X256" s="72">
        <f>SUMIF(D237:D256,"철",F237:F256)</f>
        <v>0</v>
      </c>
      <c r="Y256" s="73">
        <f>SUMIF(I237:I256,"철",K237:K256)</f>
        <v>0</v>
      </c>
      <c r="Z256" s="64">
        <f>COUNTIF(AJ237:AJ256,"철국")+COUNTIF(AJ237:AJ256,"철공")</f>
        <v>0</v>
      </c>
      <c r="AA256" s="65">
        <f>COUNTIF(AK237:AK256,"철국")+COUNTIF(AK237:AK256,"철공")</f>
        <v>0</v>
      </c>
      <c r="AB256" s="72" t="s">
        <v>26</v>
      </c>
      <c r="AC256" s="64">
        <f>SUMIF(AJ237:AJ256,"철국",F237:F256)+SUMIF(AJ237:AJ256,"철공",F237:F256)</f>
        <v>0</v>
      </c>
      <c r="AD256" s="65">
        <f>SUMIF(AK237:AK256,"철국",K237:K256)+SUMIF(AK237:AK256,"철공",K237:K256)</f>
        <v>0</v>
      </c>
      <c r="AE256" s="72"/>
      <c r="AF256" s="73"/>
      <c r="AG256" s="72"/>
      <c r="AH256" s="72"/>
      <c r="AI256" s="73"/>
      <c r="AJ256" s="64" t="str">
        <f t="shared" si="50"/>
        <v/>
      </c>
      <c r="AK256" s="64" t="str">
        <f t="shared" si="42"/>
        <v/>
      </c>
      <c r="AL256" s="66"/>
      <c r="AM256" s="66"/>
    </row>
    <row r="257" spans="1:39" s="67" customFormat="1" ht="24" customHeight="1" thickBot="1" x14ac:dyDescent="0.2">
      <c r="A257" s="147" t="s">
        <v>48</v>
      </c>
      <c r="B257" s="148"/>
      <c r="C257" s="178"/>
      <c r="D257" s="178"/>
      <c r="E257" s="293"/>
      <c r="F257" s="325">
        <f>SUM(F237:F256)</f>
        <v>0</v>
      </c>
      <c r="G257" s="295"/>
      <c r="H257" s="295"/>
      <c r="I257" s="296"/>
      <c r="J257" s="297"/>
      <c r="K257" s="326">
        <f>SUM(K237:K256)</f>
        <v>0</v>
      </c>
      <c r="L257" s="150"/>
      <c r="M257" s="150"/>
      <c r="N257" s="432"/>
      <c r="O257" s="432"/>
      <c r="P257" s="150"/>
      <c r="Q257" s="150"/>
      <c r="R257" s="150"/>
      <c r="S257" s="151"/>
      <c r="T257" s="62" t="s">
        <v>24</v>
      </c>
      <c r="U257" s="63">
        <f t="shared" ref="U257:AA257" si="51">SUM(U237:U256)</f>
        <v>0</v>
      </c>
      <c r="V257" s="63">
        <f t="shared" si="51"/>
        <v>0</v>
      </c>
      <c r="W257" s="63">
        <f t="shared" si="51"/>
        <v>0</v>
      </c>
      <c r="X257" s="63">
        <f t="shared" si="51"/>
        <v>0</v>
      </c>
      <c r="Y257" s="63">
        <f t="shared" si="51"/>
        <v>0</v>
      </c>
      <c r="Z257" s="277">
        <f t="shared" si="51"/>
        <v>0</v>
      </c>
      <c r="AA257" s="278">
        <f t="shared" si="51"/>
        <v>0</v>
      </c>
      <c r="AB257" s="277" t="s">
        <v>26</v>
      </c>
      <c r="AC257" s="277">
        <f>SUM(AC237:AC256)</f>
        <v>0</v>
      </c>
      <c r="AD257" s="278">
        <f>SUM(AD237:AD256)</f>
        <v>0</v>
      </c>
      <c r="AE257" s="63">
        <f>SUM(AE237:AE256)</f>
        <v>0</v>
      </c>
      <c r="AF257" s="63">
        <f>SUM(AF237:AF256)</f>
        <v>0</v>
      </c>
      <c r="AG257" s="63" t="s">
        <v>26</v>
      </c>
      <c r="AH257" s="63">
        <f>SUM(AH237:AH256)</f>
        <v>0</v>
      </c>
      <c r="AI257" s="63">
        <f>SUM(AI237:AI256)</f>
        <v>0</v>
      </c>
      <c r="AJ257" s="63"/>
      <c r="AK257" s="64" t="str">
        <f t="shared" si="42"/>
        <v/>
      </c>
      <c r="AL257" s="66"/>
      <c r="AM257" s="66"/>
    </row>
    <row r="258" spans="1:39" s="67" customFormat="1" ht="24" customHeight="1" x14ac:dyDescent="0.15">
      <c r="A258" s="312">
        <v>241</v>
      </c>
      <c r="B258" s="215"/>
      <c r="C258" s="385"/>
      <c r="D258" s="215"/>
      <c r="E258" s="386"/>
      <c r="F258" s="386"/>
      <c r="G258" s="386"/>
      <c r="H258" s="392"/>
      <c r="I258" s="392"/>
      <c r="J258" s="393"/>
      <c r="K258" s="393"/>
      <c r="L258" s="321"/>
      <c r="M258" s="387"/>
      <c r="N258" s="454"/>
      <c r="O258" s="456"/>
      <c r="P258" s="387"/>
      <c r="Q258" s="215"/>
      <c r="R258" s="215"/>
      <c r="S258" s="285"/>
      <c r="T258" s="64" t="s">
        <v>27</v>
      </c>
      <c r="U258" s="64">
        <f>COUNTIF(D258:D277,"전")</f>
        <v>0</v>
      </c>
      <c r="V258" s="65">
        <f>COUNTIF(I258:I277,"전")</f>
        <v>0</v>
      </c>
      <c r="W258" s="64" t="s">
        <v>26</v>
      </c>
      <c r="X258" s="64">
        <f>SUMIF(D258:D277,"전",F258:F277)</f>
        <v>0</v>
      </c>
      <c r="Y258" s="65">
        <f>SUMIF(I258:I277,"전",K258:K277)</f>
        <v>0</v>
      </c>
      <c r="Z258" s="64">
        <f>COUNTIF(AJ258:AJ277,"전국")+COUNTIF(AJ258:AJ277,"전공")</f>
        <v>0</v>
      </c>
      <c r="AA258" s="65">
        <f>COUNTIF(AK258:AK277,"전국")+COUNTIF(AK258:AK277,"전공")</f>
        <v>0</v>
      </c>
      <c r="AB258" s="64" t="s">
        <v>26</v>
      </c>
      <c r="AC258" s="64">
        <f>SUMIF(AJ258:AJ277,"전국",F258:F277)+SUMIF(AJ258:AJ277,"전공",F258:F277)</f>
        <v>0</v>
      </c>
      <c r="AD258" s="65">
        <f>SUMIF(AK258:AK277,"전국",K258:K277)+SUMIF(AK258:AK277,"전공",K258:K277)</f>
        <v>0</v>
      </c>
      <c r="AE258" s="64">
        <f t="shared" ref="AE258:AF274" si="52">U258-Z258</f>
        <v>0</v>
      </c>
      <c r="AF258" s="65">
        <f t="shared" si="52"/>
        <v>0</v>
      </c>
      <c r="AG258" s="64" t="s">
        <v>26</v>
      </c>
      <c r="AH258" s="64">
        <f t="shared" ref="AH258:AI274" si="53">X258-AC258</f>
        <v>0</v>
      </c>
      <c r="AI258" s="65">
        <f t="shared" si="53"/>
        <v>0</v>
      </c>
      <c r="AJ258" s="64" t="str">
        <f t="shared" ref="AJ258:AJ277" si="54">CONCATENATE(D258,L258)</f>
        <v/>
      </c>
      <c r="AK258" s="64" t="str">
        <f t="shared" si="42"/>
        <v/>
      </c>
      <c r="AL258" s="66"/>
    </row>
    <row r="259" spans="1:39" s="67" customFormat="1" ht="24" customHeight="1" x14ac:dyDescent="0.15">
      <c r="A259" s="299">
        <v>242</v>
      </c>
      <c r="B259" s="121"/>
      <c r="C259" s="327"/>
      <c r="D259" s="121"/>
      <c r="E259" s="126"/>
      <c r="F259" s="126"/>
      <c r="G259" s="126"/>
      <c r="H259" s="339"/>
      <c r="I259" s="339"/>
      <c r="J259" s="394"/>
      <c r="K259" s="395"/>
      <c r="L259" s="314"/>
      <c r="M259" s="322"/>
      <c r="N259" s="453"/>
      <c r="O259" s="435"/>
      <c r="P259" s="121"/>
      <c r="Q259" s="121"/>
      <c r="R259" s="121"/>
      <c r="S259" s="264"/>
      <c r="T259" s="64" t="s">
        <v>28</v>
      </c>
      <c r="U259" s="64">
        <f>COUNTIF(D258:D277,"답")</f>
        <v>0</v>
      </c>
      <c r="V259" s="65">
        <f>COUNTIF(I258:I277,"답")</f>
        <v>0</v>
      </c>
      <c r="W259" s="64" t="s">
        <v>26</v>
      </c>
      <c r="X259" s="64">
        <f>SUMIF(D258:D277,"답",F258:F277)</f>
        <v>0</v>
      </c>
      <c r="Y259" s="65">
        <f>SUMIF(I258:I277,"답",K258:K277)</f>
        <v>0</v>
      </c>
      <c r="Z259" s="64">
        <f>COUNTIF(AJ258:AJ277,"답국")+COUNTIF(AJ258:AJ277,"답공")</f>
        <v>0</v>
      </c>
      <c r="AA259" s="65">
        <f>COUNTIF(AK258:AK277,"답국")+COUNTIF(AK258:AK277,"답공")</f>
        <v>0</v>
      </c>
      <c r="AB259" s="64" t="s">
        <v>26</v>
      </c>
      <c r="AC259" s="64">
        <f>SUMIF(AJ258:AJ277,"답국",F258:F277)+SUMIF(AJ258:AJ277,"답공",F258:F277)</f>
        <v>0</v>
      </c>
      <c r="AD259" s="65">
        <f>SUMIF(AK258:AK277,"답국",K258:K277)+SUMIF(AK258:AK277,"답공",K258:K277)</f>
        <v>0</v>
      </c>
      <c r="AE259" s="64">
        <f t="shared" si="52"/>
        <v>0</v>
      </c>
      <c r="AF259" s="65">
        <f t="shared" si="52"/>
        <v>0</v>
      </c>
      <c r="AG259" s="64" t="s">
        <v>26</v>
      </c>
      <c r="AH259" s="64">
        <f t="shared" si="53"/>
        <v>0</v>
      </c>
      <c r="AI259" s="65">
        <f t="shared" si="53"/>
        <v>0</v>
      </c>
      <c r="AJ259" s="64" t="str">
        <f t="shared" si="54"/>
        <v/>
      </c>
      <c r="AK259" s="64" t="str">
        <f t="shared" si="42"/>
        <v/>
      </c>
      <c r="AL259" s="66"/>
    </row>
    <row r="260" spans="1:39" s="67" customFormat="1" ht="24" customHeight="1" x14ac:dyDescent="0.15">
      <c r="A260" s="299">
        <v>243</v>
      </c>
      <c r="B260" s="121"/>
      <c r="C260" s="327"/>
      <c r="D260" s="121"/>
      <c r="E260" s="125"/>
      <c r="F260" s="125"/>
      <c r="G260" s="125"/>
      <c r="H260" s="339"/>
      <c r="I260" s="339"/>
      <c r="J260" s="395"/>
      <c r="K260" s="395"/>
      <c r="L260" s="314"/>
      <c r="M260" s="322"/>
      <c r="N260" s="453"/>
      <c r="O260" s="435"/>
      <c r="P260" s="121"/>
      <c r="Q260" s="121"/>
      <c r="R260" s="121"/>
      <c r="S260" s="264"/>
      <c r="T260" s="64" t="s">
        <v>44</v>
      </c>
      <c r="U260" s="64">
        <f>COUNTIF(D258:D277,"임")</f>
        <v>0</v>
      </c>
      <c r="V260" s="65">
        <f>COUNTIF(I258:I277,"임")</f>
        <v>0</v>
      </c>
      <c r="W260" s="64" t="s">
        <v>26</v>
      </c>
      <c r="X260" s="64">
        <f>SUMIF(D258:D277,"임",F258:F277)</f>
        <v>0</v>
      </c>
      <c r="Y260" s="65">
        <f>SUMIF(I258:I277,"임",K258:K277)</f>
        <v>0</v>
      </c>
      <c r="Z260" s="64">
        <f>COUNTIF(AJ258:AJ277,"임국")+COUNTIF(AJ258:AJ277,"임공")</f>
        <v>0</v>
      </c>
      <c r="AA260" s="65">
        <f>COUNTIF(AK258:AK277,"임국")+COUNTIF(AK258:AK277,"임공")</f>
        <v>0</v>
      </c>
      <c r="AB260" s="64" t="s">
        <v>26</v>
      </c>
      <c r="AC260" s="64">
        <f>SUMIF(AJ258:AJ277,"임국",F258:F277)+SUMIF(AJ258:AJ277,"임공",F258:F277)</f>
        <v>0</v>
      </c>
      <c r="AD260" s="65">
        <f>SUMIF(AK258:AK277,"임국",K258:K277)+SUMIF(AK258:AK277,"임공",K258:K277)</f>
        <v>0</v>
      </c>
      <c r="AE260" s="64">
        <f t="shared" si="52"/>
        <v>0</v>
      </c>
      <c r="AF260" s="65">
        <f t="shared" si="52"/>
        <v>0</v>
      </c>
      <c r="AG260" s="64" t="s">
        <v>26</v>
      </c>
      <c r="AH260" s="64">
        <f t="shared" si="53"/>
        <v>0</v>
      </c>
      <c r="AI260" s="65">
        <f t="shared" si="53"/>
        <v>0</v>
      </c>
      <c r="AJ260" s="64" t="str">
        <f t="shared" si="54"/>
        <v/>
      </c>
      <c r="AK260" s="64" t="str">
        <f t="shared" si="42"/>
        <v/>
      </c>
      <c r="AL260" s="66"/>
    </row>
    <row r="261" spans="1:39" s="67" customFormat="1" ht="24" customHeight="1" x14ac:dyDescent="0.15">
      <c r="A261" s="299">
        <v>244</v>
      </c>
      <c r="B261" s="121"/>
      <c r="C261" s="327"/>
      <c r="D261" s="121"/>
      <c r="E261" s="328"/>
      <c r="F261" s="328"/>
      <c r="G261" s="125"/>
      <c r="H261" s="339"/>
      <c r="I261" s="339"/>
      <c r="J261" s="399"/>
      <c r="K261" s="399"/>
      <c r="L261" s="314"/>
      <c r="M261" s="322"/>
      <c r="N261" s="453"/>
      <c r="O261" s="435"/>
      <c r="P261" s="121"/>
      <c r="Q261" s="121"/>
      <c r="R261" s="121"/>
      <c r="S261" s="264"/>
      <c r="T261" s="64" t="s">
        <v>45</v>
      </c>
      <c r="U261" s="64">
        <f>COUNTIF(D258:D277,"대")</f>
        <v>0</v>
      </c>
      <c r="V261" s="65">
        <f>COUNTIF(I258:I277,"대")</f>
        <v>0</v>
      </c>
      <c r="W261" s="64" t="s">
        <v>26</v>
      </c>
      <c r="X261" s="64">
        <f>SUMIF(D258:D277,"대",F258:F277)</f>
        <v>0</v>
      </c>
      <c r="Y261" s="65">
        <f>SUMIF(I258:I277,"대",K258:K277)</f>
        <v>0</v>
      </c>
      <c r="Z261" s="64">
        <f>COUNTIF(AJ258:AJ277,"대국")+COUNTIF(AJ258:AJ277,"대공")</f>
        <v>0</v>
      </c>
      <c r="AA261" s="65">
        <f>COUNTIF(AK258:AK277,"대국")+COUNTIF(AK258:AK277,"대공")</f>
        <v>0</v>
      </c>
      <c r="AB261" s="64" t="s">
        <v>26</v>
      </c>
      <c r="AC261" s="64">
        <f>SUMIF(AJ258:AJ277,"대국",F258:F277)+SUMIF(AJ258:AJ277,"대공",F258:F277)</f>
        <v>0</v>
      </c>
      <c r="AD261" s="65">
        <f>SUMIF(AK258:AK277,"대국",K258:K277)+SUMIF(AK258:AK277,"대공",K258:K277)</f>
        <v>0</v>
      </c>
      <c r="AE261" s="64">
        <f t="shared" si="52"/>
        <v>0</v>
      </c>
      <c r="AF261" s="65">
        <f t="shared" si="52"/>
        <v>0</v>
      </c>
      <c r="AG261" s="64" t="s">
        <v>26</v>
      </c>
      <c r="AH261" s="64">
        <f t="shared" si="53"/>
        <v>0</v>
      </c>
      <c r="AI261" s="65">
        <f t="shared" si="53"/>
        <v>0</v>
      </c>
      <c r="AJ261" s="64" t="str">
        <f t="shared" si="54"/>
        <v/>
      </c>
      <c r="AK261" s="64" t="str">
        <f t="shared" si="42"/>
        <v/>
      </c>
      <c r="AL261" s="66"/>
    </row>
    <row r="262" spans="1:39" s="67" customFormat="1" ht="24" customHeight="1" x14ac:dyDescent="0.15">
      <c r="A262" s="299">
        <v>245</v>
      </c>
      <c r="B262" s="121"/>
      <c r="C262" s="327"/>
      <c r="D262" s="121"/>
      <c r="E262" s="125"/>
      <c r="F262" s="125"/>
      <c r="G262" s="125"/>
      <c r="H262" s="339"/>
      <c r="I262" s="339"/>
      <c r="J262" s="399"/>
      <c r="K262" s="395"/>
      <c r="L262" s="314"/>
      <c r="M262" s="322"/>
      <c r="N262" s="453"/>
      <c r="O262" s="435"/>
      <c r="P262" s="121"/>
      <c r="Q262" s="121"/>
      <c r="R262" s="121"/>
      <c r="S262" s="264"/>
      <c r="T262" s="64" t="s">
        <v>31</v>
      </c>
      <c r="U262" s="64">
        <f>COUNTIF(D258:D277,"도")</f>
        <v>0</v>
      </c>
      <c r="V262" s="65">
        <f>COUNTIF(I258:I277,"도")</f>
        <v>0</v>
      </c>
      <c r="W262" s="64" t="s">
        <v>26</v>
      </c>
      <c r="X262" s="64">
        <f>SUMIF(D258:D277,"도",F258:F277)</f>
        <v>0</v>
      </c>
      <c r="Y262" s="65">
        <f>SUMIF(I258:I277,"도",K258:K277)</f>
        <v>0</v>
      </c>
      <c r="Z262" s="64">
        <f>COUNTIF(AJ258:AJ277,"도국")+COUNTIF(AJ258:AJ277,"도공")</f>
        <v>0</v>
      </c>
      <c r="AA262" s="65">
        <f>COUNTIF(AK258:AK277,"도국")+COUNTIF(AK258:AK277,"도공")</f>
        <v>0</v>
      </c>
      <c r="AB262" s="64" t="s">
        <v>26</v>
      </c>
      <c r="AC262" s="64">
        <f>SUMIF(AJ258:AJ277,"도국",F258:F277)+SUMIF(AJ258:AJ277,"도공",F258:F277)</f>
        <v>0</v>
      </c>
      <c r="AD262" s="65">
        <f>SUMIF(AK258:AK277,"도국",K258:K277)+SUMIF(AK258:AK277,"도공",K258:K277)</f>
        <v>0</v>
      </c>
      <c r="AE262" s="64">
        <f t="shared" si="52"/>
        <v>0</v>
      </c>
      <c r="AF262" s="65">
        <f t="shared" si="52"/>
        <v>0</v>
      </c>
      <c r="AG262" s="64" t="s">
        <v>26</v>
      </c>
      <c r="AH262" s="64">
        <f t="shared" si="53"/>
        <v>0</v>
      </c>
      <c r="AI262" s="65">
        <f t="shared" si="53"/>
        <v>0</v>
      </c>
      <c r="AJ262" s="64" t="str">
        <f t="shared" si="54"/>
        <v/>
      </c>
      <c r="AK262" s="64" t="str">
        <f t="shared" si="42"/>
        <v/>
      </c>
      <c r="AL262" s="66"/>
    </row>
    <row r="263" spans="1:39" s="67" customFormat="1" ht="24" customHeight="1" x14ac:dyDescent="0.15">
      <c r="A263" s="299">
        <v>246</v>
      </c>
      <c r="B263" s="121"/>
      <c r="C263" s="327"/>
      <c r="D263" s="121"/>
      <c r="E263" s="125"/>
      <c r="F263" s="125"/>
      <c r="G263" s="125"/>
      <c r="H263" s="339"/>
      <c r="I263" s="339"/>
      <c r="J263" s="395"/>
      <c r="K263" s="399"/>
      <c r="L263" s="314"/>
      <c r="M263" s="322"/>
      <c r="N263" s="453"/>
      <c r="O263" s="435"/>
      <c r="P263" s="121"/>
      <c r="Q263" s="121"/>
      <c r="R263" s="121"/>
      <c r="S263" s="264"/>
      <c r="T263" s="64" t="s">
        <v>32</v>
      </c>
      <c r="U263" s="68">
        <f>COUNTIF(D258:D277,"천")</f>
        <v>0</v>
      </c>
      <c r="V263" s="69">
        <f>COUNTIF(I258:I277,"천")</f>
        <v>0</v>
      </c>
      <c r="W263" s="64" t="s">
        <v>26</v>
      </c>
      <c r="X263" s="64">
        <f>SUMIF(D258:D277,"천",F258:F277)</f>
        <v>0</v>
      </c>
      <c r="Y263" s="65">
        <f>SUMIF(I258:I277,"천",K258:K277)</f>
        <v>0</v>
      </c>
      <c r="Z263" s="64">
        <f>COUNTIF(AJ258:AJ277,"천국")+COUNTIF(AJ258:AJ277,"천공")</f>
        <v>0</v>
      </c>
      <c r="AA263" s="65">
        <f>COUNTIF(AK258:AK277,"천국")+COUNTIF(AK258:AK277,"천공")</f>
        <v>0</v>
      </c>
      <c r="AB263" s="64" t="s">
        <v>26</v>
      </c>
      <c r="AC263" s="64">
        <f>SUMIF(AJ258:AJ277,"천국",F258:F277)+SUMIF(AJ258:AJ277,"천공",F258:F277)</f>
        <v>0</v>
      </c>
      <c r="AD263" s="65">
        <f>SUMIF(AK258:AK277,"천국",K258:K277)+SUMIF(AK258:AK277,"천공",K258:K277)</f>
        <v>0</v>
      </c>
      <c r="AE263" s="64">
        <f t="shared" si="52"/>
        <v>0</v>
      </c>
      <c r="AF263" s="65">
        <f t="shared" si="52"/>
        <v>0</v>
      </c>
      <c r="AG263" s="64" t="s">
        <v>26</v>
      </c>
      <c r="AH263" s="64">
        <f t="shared" si="53"/>
        <v>0</v>
      </c>
      <c r="AI263" s="65">
        <f t="shared" si="53"/>
        <v>0</v>
      </c>
      <c r="AJ263" s="64" t="str">
        <f t="shared" si="54"/>
        <v/>
      </c>
      <c r="AK263" s="64" t="str">
        <f t="shared" ref="AK263:AK326" si="55">CONCATENATE(I263,N263)</f>
        <v/>
      </c>
      <c r="AL263" s="66"/>
    </row>
    <row r="264" spans="1:39" s="67" customFormat="1" ht="24" customHeight="1" x14ac:dyDescent="0.15">
      <c r="A264" s="299">
        <v>247</v>
      </c>
      <c r="B264" s="121"/>
      <c r="C264" s="327"/>
      <c r="D264" s="121"/>
      <c r="E264" s="126"/>
      <c r="F264" s="403"/>
      <c r="G264" s="126"/>
      <c r="H264" s="339"/>
      <c r="I264" s="339"/>
      <c r="J264" s="394"/>
      <c r="K264" s="399"/>
      <c r="L264" s="314"/>
      <c r="M264" s="322"/>
      <c r="N264" s="453"/>
      <c r="O264" s="435"/>
      <c r="P264" s="322"/>
      <c r="Q264" s="121"/>
      <c r="R264" s="121"/>
      <c r="S264" s="264"/>
      <c r="T264" s="64" t="s">
        <v>33</v>
      </c>
      <c r="U264" s="64">
        <f>COUNTIF(D258:D277,"구")</f>
        <v>0</v>
      </c>
      <c r="V264" s="65">
        <f>COUNTIF(I258:I277,"구")</f>
        <v>0</v>
      </c>
      <c r="W264" s="64" t="s">
        <v>26</v>
      </c>
      <c r="X264" s="64">
        <f>SUMIF(D258:D277,"구",F258:F277)</f>
        <v>0</v>
      </c>
      <c r="Y264" s="65">
        <f>SUMIF(I258:I277,"구",K258:K277)</f>
        <v>0</v>
      </c>
      <c r="Z264" s="64">
        <f>COUNTIF(AJ258:AJ277,"구국")+COUNTIF(AJ258:AJ277,"구공")</f>
        <v>0</v>
      </c>
      <c r="AA264" s="65">
        <f>COUNTIF(AK258:AK277,"구국")+COUNTIF(AK258:AK277,"구공")</f>
        <v>0</v>
      </c>
      <c r="AB264" s="64" t="s">
        <v>26</v>
      </c>
      <c r="AC264" s="64">
        <f>SUMIF(AJ258:AJ277,"구국",F258:F277)+SUMIF(AJ258:AJ277,"구공",F258:F277)</f>
        <v>0</v>
      </c>
      <c r="AD264" s="65">
        <f>SUMIF(AK258:AK277,"구국",K258:K277)+SUMIF(AK258:AK277,"구공",K258:K277)</f>
        <v>0</v>
      </c>
      <c r="AE264" s="64">
        <f t="shared" si="52"/>
        <v>0</v>
      </c>
      <c r="AF264" s="65">
        <f t="shared" si="52"/>
        <v>0</v>
      </c>
      <c r="AG264" s="64" t="s">
        <v>26</v>
      </c>
      <c r="AH264" s="64">
        <f t="shared" si="53"/>
        <v>0</v>
      </c>
      <c r="AI264" s="65">
        <f t="shared" si="53"/>
        <v>0</v>
      </c>
      <c r="AJ264" s="64" t="str">
        <f t="shared" si="54"/>
        <v/>
      </c>
      <c r="AK264" s="64" t="str">
        <f t="shared" si="55"/>
        <v/>
      </c>
      <c r="AL264" s="66"/>
    </row>
    <row r="265" spans="1:39" s="67" customFormat="1" ht="24" customHeight="1" x14ac:dyDescent="0.15">
      <c r="A265" s="299">
        <v>248</v>
      </c>
      <c r="B265" s="121"/>
      <c r="C265" s="327"/>
      <c r="D265" s="121"/>
      <c r="E265" s="125"/>
      <c r="F265" s="125"/>
      <c r="G265" s="125"/>
      <c r="H265" s="339"/>
      <c r="I265" s="339"/>
      <c r="J265" s="395"/>
      <c r="K265" s="395"/>
      <c r="L265" s="314"/>
      <c r="M265" s="322"/>
      <c r="N265" s="453"/>
      <c r="O265" s="435"/>
      <c r="P265" s="121"/>
      <c r="Q265" s="121"/>
      <c r="R265" s="121"/>
      <c r="S265" s="264"/>
      <c r="T265" s="64" t="s">
        <v>34</v>
      </c>
      <c r="U265" s="64">
        <f>COUNTIF(D258:D277,"제")</f>
        <v>0</v>
      </c>
      <c r="V265" s="65">
        <f>COUNTIF(I258:I277,"제")</f>
        <v>0</v>
      </c>
      <c r="W265" s="64" t="s">
        <v>26</v>
      </c>
      <c r="X265" s="64">
        <f>SUMIF(D258:D277,"제",F258:F277)</f>
        <v>0</v>
      </c>
      <c r="Y265" s="65">
        <f>SUMIF(I258:I277,"제",K258:K277)</f>
        <v>0</v>
      </c>
      <c r="Z265" s="64">
        <f>COUNTIF(AJ258:AJ277,"제국")+COUNTIF(AJ258:AJ277,"제공")</f>
        <v>0</v>
      </c>
      <c r="AA265" s="65">
        <f>COUNTIF(AK258:AK277,"제국")+COUNTIF(AK258:AK277,"제공")</f>
        <v>0</v>
      </c>
      <c r="AB265" s="64" t="s">
        <v>26</v>
      </c>
      <c r="AC265" s="64">
        <f>SUMIF(AJ258:AJ277,"제국",F258:F277)+SUMIF(AJ258:AJ277,"제공",F258:F277)</f>
        <v>0</v>
      </c>
      <c r="AD265" s="65">
        <f>SUMIF(AK258:AK277,"제국",K258:K277)+SUMIF(AK258:AK277,"제공",K258:K277)</f>
        <v>0</v>
      </c>
      <c r="AE265" s="64">
        <f t="shared" si="52"/>
        <v>0</v>
      </c>
      <c r="AF265" s="65">
        <f t="shared" si="52"/>
        <v>0</v>
      </c>
      <c r="AG265" s="64" t="s">
        <v>26</v>
      </c>
      <c r="AH265" s="64">
        <f t="shared" si="53"/>
        <v>0</v>
      </c>
      <c r="AI265" s="65">
        <f t="shared" si="53"/>
        <v>0</v>
      </c>
      <c r="AJ265" s="64" t="str">
        <f t="shared" si="54"/>
        <v/>
      </c>
      <c r="AK265" s="64" t="str">
        <f t="shared" si="55"/>
        <v/>
      </c>
      <c r="AL265" s="66"/>
    </row>
    <row r="266" spans="1:39" s="67" customFormat="1" ht="24" customHeight="1" x14ac:dyDescent="0.15">
      <c r="A266" s="299">
        <v>249</v>
      </c>
      <c r="B266" s="121"/>
      <c r="C266" s="327"/>
      <c r="D266" s="121"/>
      <c r="E266" s="125"/>
      <c r="F266" s="125"/>
      <c r="G266" s="125"/>
      <c r="H266" s="339"/>
      <c r="I266" s="339"/>
      <c r="J266" s="395"/>
      <c r="K266" s="395"/>
      <c r="L266" s="314"/>
      <c r="M266" s="322"/>
      <c r="N266" s="453"/>
      <c r="O266" s="435"/>
      <c r="P266" s="121"/>
      <c r="Q266" s="121"/>
      <c r="R266" s="121"/>
      <c r="S266" s="264"/>
      <c r="T266" s="64" t="s">
        <v>46</v>
      </c>
      <c r="U266" s="64">
        <f>COUNTIF(D258:D277,"유")</f>
        <v>0</v>
      </c>
      <c r="V266" s="65">
        <f>COUNTIF(I258:I277,"유")</f>
        <v>0</v>
      </c>
      <c r="W266" s="64" t="s">
        <v>26</v>
      </c>
      <c r="X266" s="64">
        <f>SUMIF(D258:D277,"유",F258:F277)</f>
        <v>0</v>
      </c>
      <c r="Y266" s="65">
        <f>SUMIF(I258:I277,"유",K258:K277)</f>
        <v>0</v>
      </c>
      <c r="Z266" s="64">
        <f>COUNTIF(AJ258:AJ277,"유국")+COUNTIF(AJ258:AJ277,"유공")</f>
        <v>0</v>
      </c>
      <c r="AA266" s="65">
        <f>COUNTIF(AK258:AK277,"유국")+COUNTIF(AK258:AK277,"유공")</f>
        <v>0</v>
      </c>
      <c r="AB266" s="64" t="s">
        <v>26</v>
      </c>
      <c r="AC266" s="64">
        <f>SUMIF(AJ258:AJ277,"유국",F258:F277)+SUMIF(AJ258:AJ277,"유공",F258:F277)</f>
        <v>0</v>
      </c>
      <c r="AD266" s="65">
        <f>SUMIF(AK258:AK277,"유국",K258:K277)+SUMIF(AK258:AK277,"유공",K258:K277)</f>
        <v>0</v>
      </c>
      <c r="AE266" s="64">
        <f t="shared" si="52"/>
        <v>0</v>
      </c>
      <c r="AF266" s="65">
        <f t="shared" si="52"/>
        <v>0</v>
      </c>
      <c r="AG266" s="64" t="s">
        <v>26</v>
      </c>
      <c r="AH266" s="64">
        <f t="shared" si="53"/>
        <v>0</v>
      </c>
      <c r="AI266" s="65">
        <f t="shared" si="53"/>
        <v>0</v>
      </c>
      <c r="AJ266" s="64" t="str">
        <f t="shared" si="54"/>
        <v/>
      </c>
      <c r="AK266" s="64" t="str">
        <f t="shared" si="55"/>
        <v/>
      </c>
      <c r="AL266" s="66"/>
    </row>
    <row r="267" spans="1:39" s="67" customFormat="1" ht="24" customHeight="1" x14ac:dyDescent="0.15">
      <c r="A267" s="299">
        <v>250</v>
      </c>
      <c r="B267" s="121"/>
      <c r="C267" s="327"/>
      <c r="D267" s="121"/>
      <c r="E267" s="125"/>
      <c r="F267" s="125"/>
      <c r="G267" s="125"/>
      <c r="H267" s="339"/>
      <c r="I267" s="339"/>
      <c r="J267" s="395"/>
      <c r="K267" s="395"/>
      <c r="L267" s="314"/>
      <c r="M267" s="322"/>
      <c r="N267" s="453"/>
      <c r="O267" s="435"/>
      <c r="P267" s="121"/>
      <c r="Q267" s="121"/>
      <c r="R267" s="121"/>
      <c r="S267" s="264"/>
      <c r="T267" s="64" t="s">
        <v>47</v>
      </c>
      <c r="U267" s="64">
        <f>COUNTIF(D258:D277,"과")</f>
        <v>0</v>
      </c>
      <c r="V267" s="65">
        <f>COUNTIF(I258:I277,"과")</f>
        <v>0</v>
      </c>
      <c r="W267" s="64" t="s">
        <v>26</v>
      </c>
      <c r="X267" s="64">
        <f>SUMIF(D258:D277,"과",F258:F277)</f>
        <v>0</v>
      </c>
      <c r="Y267" s="65">
        <f>SUMIF(I258:I277,"과",K258:K277)</f>
        <v>0</v>
      </c>
      <c r="Z267" s="64">
        <f>COUNTIF(AJ258:AJ277,"과국")+COUNTIF(AJ258:AJ277,"과공")</f>
        <v>0</v>
      </c>
      <c r="AA267" s="65">
        <f>COUNTIF(AK258:AK277,"과국")+COUNTIF(AK258:AK277,"과공")</f>
        <v>0</v>
      </c>
      <c r="AB267" s="64" t="s">
        <v>26</v>
      </c>
      <c r="AC267" s="64">
        <f>SUMIF(AJ258:AJ277,"과국",F258:F277)+SUMIF(AJ258:AJ277,"과공",F258:F277)</f>
        <v>0</v>
      </c>
      <c r="AD267" s="65">
        <f>SUMIF(AK258:AK277,"과국",K258:K277)+SUMIF(AK258:AK277,"과공",K258:K277)</f>
        <v>0</v>
      </c>
      <c r="AE267" s="64">
        <f t="shared" si="52"/>
        <v>0</v>
      </c>
      <c r="AF267" s="65">
        <f t="shared" si="52"/>
        <v>0</v>
      </c>
      <c r="AG267" s="64" t="s">
        <v>26</v>
      </c>
      <c r="AH267" s="64">
        <f t="shared" si="53"/>
        <v>0</v>
      </c>
      <c r="AI267" s="65">
        <f t="shared" si="53"/>
        <v>0</v>
      </c>
      <c r="AJ267" s="64" t="str">
        <f t="shared" si="54"/>
        <v/>
      </c>
      <c r="AK267" s="64" t="str">
        <f t="shared" si="55"/>
        <v/>
      </c>
      <c r="AL267" s="66"/>
    </row>
    <row r="268" spans="1:39" s="67" customFormat="1" ht="24" customHeight="1" x14ac:dyDescent="0.15">
      <c r="A268" s="299">
        <v>251</v>
      </c>
      <c r="B268" s="121"/>
      <c r="C268" s="327"/>
      <c r="D268" s="121"/>
      <c r="E268" s="126"/>
      <c r="F268" s="126"/>
      <c r="G268" s="126"/>
      <c r="H268" s="339"/>
      <c r="I268" s="339"/>
      <c r="J268" s="394"/>
      <c r="K268" s="395"/>
      <c r="L268" s="314"/>
      <c r="M268" s="322"/>
      <c r="N268" s="453"/>
      <c r="O268" s="435"/>
      <c r="P268" s="121"/>
      <c r="Q268" s="121"/>
      <c r="R268" s="121"/>
      <c r="S268" s="264"/>
      <c r="T268" s="64" t="s">
        <v>36</v>
      </c>
      <c r="U268" s="64">
        <f>COUNTIF(D258:D277,"묘")</f>
        <v>0</v>
      </c>
      <c r="V268" s="65">
        <f>COUNTIF(I258:I277,"묘")</f>
        <v>0</v>
      </c>
      <c r="W268" s="64" t="s">
        <v>26</v>
      </c>
      <c r="X268" s="64">
        <f>SUMIF(D258:D277,"묘",F258:F277)</f>
        <v>0</v>
      </c>
      <c r="Y268" s="65">
        <f>SUMIF(I258:I277,"묘",K258:K277)</f>
        <v>0</v>
      </c>
      <c r="Z268" s="64">
        <f>COUNTIF(AJ258:AJ277,"묘국")+COUNTIF(AJ258:AJ277,"묘공")</f>
        <v>0</v>
      </c>
      <c r="AA268" s="65">
        <f>COUNTIF(AK258:AK277,"묘국")+COUNTIF(AK258:AK277,"묘공")</f>
        <v>0</v>
      </c>
      <c r="AB268" s="64" t="s">
        <v>26</v>
      </c>
      <c r="AC268" s="64">
        <f>SUMIF(AJ258:AJ277,"묘국",F258:F277)+SUMIF(AJ258:AJ277,"묘공",F258:F277)</f>
        <v>0</v>
      </c>
      <c r="AD268" s="65">
        <f>SUMIF(AK258:AK277,"묘국",K258:K277)+SUMIF(AK258:AK277,"묘공",K258:K277)</f>
        <v>0</v>
      </c>
      <c r="AE268" s="64">
        <f t="shared" si="52"/>
        <v>0</v>
      </c>
      <c r="AF268" s="65">
        <f t="shared" si="52"/>
        <v>0</v>
      </c>
      <c r="AG268" s="64" t="s">
        <v>26</v>
      </c>
      <c r="AH268" s="64">
        <f t="shared" si="53"/>
        <v>0</v>
      </c>
      <c r="AI268" s="65">
        <f t="shared" si="53"/>
        <v>0</v>
      </c>
      <c r="AJ268" s="64" t="str">
        <f t="shared" si="54"/>
        <v/>
      </c>
      <c r="AK268" s="64" t="str">
        <f t="shared" si="55"/>
        <v/>
      </c>
      <c r="AL268" s="66"/>
    </row>
    <row r="269" spans="1:39" s="67" customFormat="1" ht="24" customHeight="1" x14ac:dyDescent="0.15">
      <c r="A269" s="299">
        <v>252</v>
      </c>
      <c r="B269" s="121"/>
      <c r="C269" s="327"/>
      <c r="D269" s="121"/>
      <c r="E269" s="125"/>
      <c r="F269" s="125"/>
      <c r="G269" s="125"/>
      <c r="H269" s="339"/>
      <c r="I269" s="339"/>
      <c r="J269" s="395"/>
      <c r="K269" s="395"/>
      <c r="L269" s="314"/>
      <c r="M269" s="322"/>
      <c r="N269" s="453"/>
      <c r="O269" s="435"/>
      <c r="P269" s="322"/>
      <c r="Q269" s="121"/>
      <c r="R269" s="121"/>
      <c r="S269" s="264"/>
      <c r="T269" s="64" t="s">
        <v>39</v>
      </c>
      <c r="U269" s="64">
        <f>COUNTIF(D258:D277,"수")</f>
        <v>0</v>
      </c>
      <c r="V269" s="65">
        <f>COUNTIF(I258:I277,"수")</f>
        <v>0</v>
      </c>
      <c r="W269" s="64" t="s">
        <v>26</v>
      </c>
      <c r="X269" s="64">
        <f>SUMIF(D258:D277,"수",F258:F277)</f>
        <v>0</v>
      </c>
      <c r="Y269" s="65">
        <f>SUMIF(I258:I277,"수",K258:K277)</f>
        <v>0</v>
      </c>
      <c r="Z269" s="64">
        <f>COUNTIF(AJ258:AJ277,"수국")+COUNTIF(AJ258:AJ277,"수공")</f>
        <v>0</v>
      </c>
      <c r="AA269" s="65">
        <f>COUNTIF(AK258:AK277,"수국")+COUNTIF(AK258:AK277,"수공")</f>
        <v>0</v>
      </c>
      <c r="AB269" s="64" t="s">
        <v>26</v>
      </c>
      <c r="AC269" s="64">
        <f>SUMIF(AJ258:AJ277,"수국",F258:F277)+SUMIF(AJ258:AJ277,"수공",F258:F277)</f>
        <v>0</v>
      </c>
      <c r="AD269" s="65">
        <f>SUMIF(AK258:AK277,"수국",K258:K277)+SUMIF(AK258:AK277,"수공",K258:K277)</f>
        <v>0</v>
      </c>
      <c r="AE269" s="64">
        <f t="shared" si="52"/>
        <v>0</v>
      </c>
      <c r="AF269" s="65">
        <f t="shared" si="52"/>
        <v>0</v>
      </c>
      <c r="AG269" s="64" t="s">
        <v>26</v>
      </c>
      <c r="AH269" s="64">
        <f t="shared" si="53"/>
        <v>0</v>
      </c>
      <c r="AI269" s="65">
        <f t="shared" si="53"/>
        <v>0</v>
      </c>
      <c r="AJ269" s="64" t="str">
        <f t="shared" si="54"/>
        <v/>
      </c>
      <c r="AK269" s="64" t="str">
        <f t="shared" si="55"/>
        <v/>
      </c>
      <c r="AL269" s="66"/>
    </row>
    <row r="270" spans="1:39" s="67" customFormat="1" ht="24" customHeight="1" x14ac:dyDescent="0.15">
      <c r="A270" s="299">
        <v>253</v>
      </c>
      <c r="B270" s="121"/>
      <c r="C270" s="327"/>
      <c r="D270" s="121"/>
      <c r="E270" s="125"/>
      <c r="F270" s="125"/>
      <c r="G270" s="125"/>
      <c r="H270" s="339"/>
      <c r="I270" s="339"/>
      <c r="J270" s="399"/>
      <c r="K270" s="395"/>
      <c r="L270" s="314"/>
      <c r="M270" s="322"/>
      <c r="N270" s="453"/>
      <c r="O270" s="435"/>
      <c r="P270" s="121"/>
      <c r="Q270" s="121"/>
      <c r="R270" s="121"/>
      <c r="S270" s="264"/>
      <c r="T270" s="64" t="s">
        <v>35</v>
      </c>
      <c r="U270" s="64">
        <f>COUNTIF(D258:D277,"잡")</f>
        <v>0</v>
      </c>
      <c r="V270" s="65">
        <f>COUNTIF(I258:I277,"잡")</f>
        <v>0</v>
      </c>
      <c r="W270" s="64" t="s">
        <v>26</v>
      </c>
      <c r="X270" s="64">
        <f>SUMIF(D258:D277,"잡",F258:F277)</f>
        <v>0</v>
      </c>
      <c r="Y270" s="65">
        <f>SUMIF(I258:I277,"잡",K258:K277)</f>
        <v>0</v>
      </c>
      <c r="Z270" s="64">
        <f>COUNTIF(AJ258:AJ277,"잡국")+COUNTIF(AJ258:AJ277,"잡공")</f>
        <v>0</v>
      </c>
      <c r="AA270" s="65">
        <f>COUNTIF(AK258:AK277,"잡국")+COUNTIF(AK258:AK277,"잡공")</f>
        <v>0</v>
      </c>
      <c r="AB270" s="64" t="s">
        <v>26</v>
      </c>
      <c r="AC270" s="64">
        <f>SUMIF(AJ258:AJ277,"잡국",F258:F277)+SUMIF(AJ258:AJ277,"잡공",F258:F277)</f>
        <v>0</v>
      </c>
      <c r="AD270" s="65">
        <f>SUMIF(AK258:AK277,"잡국",K258:K277)+SUMIF(AK258:AK277,"잡공",K258:K277)</f>
        <v>0</v>
      </c>
      <c r="AE270" s="64">
        <f t="shared" si="52"/>
        <v>0</v>
      </c>
      <c r="AF270" s="65">
        <f t="shared" si="52"/>
        <v>0</v>
      </c>
      <c r="AG270" s="64" t="s">
        <v>26</v>
      </c>
      <c r="AH270" s="64">
        <f t="shared" si="53"/>
        <v>0</v>
      </c>
      <c r="AI270" s="65">
        <f t="shared" si="53"/>
        <v>0</v>
      </c>
      <c r="AJ270" s="64" t="str">
        <f t="shared" si="54"/>
        <v/>
      </c>
      <c r="AK270" s="64" t="str">
        <f t="shared" si="55"/>
        <v/>
      </c>
      <c r="AL270" s="66"/>
    </row>
    <row r="271" spans="1:39" s="67" customFormat="1" ht="24" customHeight="1" x14ac:dyDescent="0.15">
      <c r="A271" s="299">
        <v>254</v>
      </c>
      <c r="B271" s="121"/>
      <c r="C271" s="327"/>
      <c r="D271" s="121"/>
      <c r="E271" s="125"/>
      <c r="F271" s="125"/>
      <c r="G271" s="125"/>
      <c r="H271" s="339"/>
      <c r="I271" s="339"/>
      <c r="J271" s="395"/>
      <c r="K271" s="395"/>
      <c r="L271" s="314"/>
      <c r="M271" s="469"/>
      <c r="N271" s="453"/>
      <c r="O271" s="435"/>
      <c r="P271" s="121"/>
      <c r="Q271" s="121"/>
      <c r="R271" s="121"/>
      <c r="S271" s="264"/>
      <c r="T271" s="64" t="s">
        <v>195</v>
      </c>
      <c r="U271" s="64">
        <f>COUNTIF(D258:D277,"창")</f>
        <v>0</v>
      </c>
      <c r="V271" s="65">
        <f>COUNTIF(I258:I277,"창")</f>
        <v>0</v>
      </c>
      <c r="W271" s="64" t="s">
        <v>26</v>
      </c>
      <c r="X271" s="64">
        <f>SUMIF(D258:D277,"창",F258:F277)</f>
        <v>0</v>
      </c>
      <c r="Y271" s="65">
        <f>SUMIF(I258:I277,"창",K258:K277)</f>
        <v>0</v>
      </c>
      <c r="Z271" s="64">
        <f>COUNTIF(AJ258:AJ277,"창국")+COUNTIF(AJ258:AJ277,"창공")</f>
        <v>0</v>
      </c>
      <c r="AA271" s="65">
        <f>COUNTIF(AK258:AK277,"창국")+COUNTIF(AK258:AK277,"창공")</f>
        <v>0</v>
      </c>
      <c r="AB271" s="64" t="s">
        <v>26</v>
      </c>
      <c r="AC271" s="64">
        <f>SUMIF(AJ258:AJ277,"창국",F258:F277)+SUMIF(AJ258:AJ277,"창공",F258:F277)</f>
        <v>0</v>
      </c>
      <c r="AD271" s="65">
        <f>SUMIF(AK258:AK277,"창국",K258:K277)+SUMIF(AK258:AK277,"창공",K258:K277)</f>
        <v>0</v>
      </c>
      <c r="AE271" s="64">
        <f t="shared" si="52"/>
        <v>0</v>
      </c>
      <c r="AF271" s="65">
        <f t="shared" si="52"/>
        <v>0</v>
      </c>
      <c r="AG271" s="64" t="s">
        <v>26</v>
      </c>
      <c r="AH271" s="64">
        <f t="shared" si="53"/>
        <v>0</v>
      </c>
      <c r="AI271" s="65">
        <f t="shared" si="53"/>
        <v>0</v>
      </c>
      <c r="AJ271" s="64" t="str">
        <f t="shared" si="54"/>
        <v/>
      </c>
      <c r="AK271" s="64" t="str">
        <f t="shared" si="55"/>
        <v/>
      </c>
      <c r="AL271" s="66"/>
    </row>
    <row r="272" spans="1:39" s="67" customFormat="1" ht="24" customHeight="1" x14ac:dyDescent="0.15">
      <c r="A272" s="330">
        <v>255</v>
      </c>
      <c r="B272" s="331"/>
      <c r="C272" s="331"/>
      <c r="D272" s="331"/>
      <c r="E272" s="122"/>
      <c r="F272" s="122"/>
      <c r="G272" s="122"/>
      <c r="H272" s="396"/>
      <c r="I272" s="396"/>
      <c r="J272" s="338"/>
      <c r="K272" s="338"/>
      <c r="L272" s="314"/>
      <c r="M272" s="469"/>
      <c r="N272" s="453"/>
      <c r="O272" s="435"/>
      <c r="P272" s="322"/>
      <c r="Q272" s="322"/>
      <c r="R272" s="121"/>
      <c r="S272" s="264"/>
      <c r="T272" s="64" t="s">
        <v>194</v>
      </c>
      <c r="U272" s="64">
        <f>COUNTIF(D258:D277,"장")</f>
        <v>0</v>
      </c>
      <c r="V272" s="65">
        <f>COUNTIF(I258:I277,"장")</f>
        <v>0</v>
      </c>
      <c r="W272" s="64" t="s">
        <v>26</v>
      </c>
      <c r="X272" s="64">
        <f>SUMIF(D258:D277,"장",F258:F277)</f>
        <v>0</v>
      </c>
      <c r="Y272" s="65">
        <f>SUMIF(I258:I277,"장",K258:K277)</f>
        <v>0</v>
      </c>
      <c r="Z272" s="64">
        <f>COUNTIF(AJ258:AJ277,"장국")+COUNTIF(AJ258:AJ277,"장장")</f>
        <v>0</v>
      </c>
      <c r="AA272" s="65">
        <f>COUNTIF(AK258:AK277,"장국")+COUNTIF(AK258:AK277,"장장")</f>
        <v>0</v>
      </c>
      <c r="AB272" s="64" t="s">
        <v>26</v>
      </c>
      <c r="AC272" s="64">
        <f>SUMIF(AJ258:AJ277,"장국",F258:F277)+SUMIF(AJ258:AJ277,"장장",F258:F277)</f>
        <v>0</v>
      </c>
      <c r="AD272" s="65">
        <f>SUMIF(AK258:AK277,"장국",K258:K277)+SUMIF(AK258:AK277,"장장",K258:K277)</f>
        <v>0</v>
      </c>
      <c r="AE272" s="64">
        <f t="shared" si="52"/>
        <v>0</v>
      </c>
      <c r="AF272" s="65">
        <f t="shared" si="52"/>
        <v>0</v>
      </c>
      <c r="AG272" s="64" t="s">
        <v>26</v>
      </c>
      <c r="AH272" s="64">
        <f t="shared" si="53"/>
        <v>0</v>
      </c>
      <c r="AI272" s="65">
        <f t="shared" si="53"/>
        <v>0</v>
      </c>
      <c r="AJ272" s="64" t="str">
        <f t="shared" si="54"/>
        <v/>
      </c>
      <c r="AK272" s="64" t="str">
        <f t="shared" si="55"/>
        <v/>
      </c>
      <c r="AL272" s="66"/>
    </row>
    <row r="273" spans="1:38" s="67" customFormat="1" ht="24" customHeight="1" x14ac:dyDescent="0.15">
      <c r="A273" s="330">
        <v>256</v>
      </c>
      <c r="B273" s="331"/>
      <c r="C273" s="331"/>
      <c r="D273" s="331"/>
      <c r="E273" s="122"/>
      <c r="F273" s="122"/>
      <c r="G273" s="122"/>
      <c r="H273" s="396"/>
      <c r="I273" s="396"/>
      <c r="J273" s="338"/>
      <c r="K273" s="338"/>
      <c r="L273" s="314"/>
      <c r="M273" s="322"/>
      <c r="N273" s="453"/>
      <c r="O273" s="435"/>
      <c r="P273" s="331"/>
      <c r="Q273" s="331"/>
      <c r="R273" s="331"/>
      <c r="S273" s="264"/>
      <c r="T273" s="70" t="s">
        <v>193</v>
      </c>
      <c r="U273" s="64">
        <f>COUNTIF(D258:D277,"학")</f>
        <v>0</v>
      </c>
      <c r="V273" s="65">
        <f>COUNTIF(I258:I277,"학")</f>
        <v>0</v>
      </c>
      <c r="W273" s="64" t="s">
        <v>26</v>
      </c>
      <c r="X273" s="64">
        <f>SUMIF(D258:D277,"학",F258:F277)</f>
        <v>0</v>
      </c>
      <c r="Y273" s="65">
        <f>SUMIF(I258:I277,"학",K258:K277)</f>
        <v>0</v>
      </c>
      <c r="Z273" s="64">
        <f>COUNTIF(AJ258:AJ277,"학국")+COUNTIF(AJ258:AJ277,"학공")</f>
        <v>0</v>
      </c>
      <c r="AA273" s="65">
        <f>COUNTIF(AK258:AK277,"학국")+COUNTIF(AK258:AK277,"학공")</f>
        <v>0</v>
      </c>
      <c r="AB273" s="64" t="s">
        <v>26</v>
      </c>
      <c r="AC273" s="64">
        <f>SUMIF(AJ258:AJ277,"학국",F258:F277)+SUMIF(AJ258:AJ277,"학공",F258:F277)</f>
        <v>0</v>
      </c>
      <c r="AD273" s="65">
        <f>SUMIF(AK258:AK277,"학국",K258:K277)+SUMIF(AK258:AK277,"학공",K258:K277)</f>
        <v>0</v>
      </c>
      <c r="AE273" s="64">
        <f t="shared" si="52"/>
        <v>0</v>
      </c>
      <c r="AF273" s="65">
        <f t="shared" si="52"/>
        <v>0</v>
      </c>
      <c r="AG273" s="64" t="s">
        <v>26</v>
      </c>
      <c r="AH273" s="64">
        <f t="shared" si="53"/>
        <v>0</v>
      </c>
      <c r="AI273" s="65">
        <f t="shared" si="53"/>
        <v>0</v>
      </c>
      <c r="AJ273" s="64" t="str">
        <f t="shared" si="54"/>
        <v/>
      </c>
      <c r="AK273" s="64" t="str">
        <f t="shared" si="55"/>
        <v/>
      </c>
      <c r="AL273" s="66"/>
    </row>
    <row r="274" spans="1:38" s="67" customFormat="1" ht="24" customHeight="1" x14ac:dyDescent="0.15">
      <c r="A274" s="330">
        <v>257</v>
      </c>
      <c r="B274" s="331"/>
      <c r="C274" s="331"/>
      <c r="D274" s="331"/>
      <c r="E274" s="122"/>
      <c r="F274" s="122"/>
      <c r="G274" s="122"/>
      <c r="H274" s="396"/>
      <c r="I274" s="396"/>
      <c r="J274" s="338"/>
      <c r="K274" s="338"/>
      <c r="L274" s="314"/>
      <c r="M274" s="477"/>
      <c r="N274" s="453"/>
      <c r="O274" s="435"/>
      <c r="P274" s="252"/>
      <c r="Q274" s="331"/>
      <c r="R274" s="331"/>
      <c r="S274" s="264"/>
      <c r="T274" s="70" t="s">
        <v>79</v>
      </c>
      <c r="U274" s="64">
        <f>COUNTIF(D258:D277,"목")</f>
        <v>0</v>
      </c>
      <c r="V274" s="65">
        <f>COUNTIF(I258:I277,"목")</f>
        <v>0</v>
      </c>
      <c r="W274" s="64" t="s">
        <v>26</v>
      </c>
      <c r="X274" s="64">
        <f>SUMIF(D258:D277,"목",F258:F277)</f>
        <v>0</v>
      </c>
      <c r="Y274" s="65">
        <f>SUMIF(I258:I277,"목",K258:K277)</f>
        <v>0</v>
      </c>
      <c r="Z274" s="64">
        <f>COUNTIF(AJ258:AJ277,"목국")+COUNTIF(AJ258:AJ277,"목공")</f>
        <v>0</v>
      </c>
      <c r="AA274" s="65">
        <f>COUNTIF(AK258:AK277,"목국")+COUNTIF(AK258:AK277,"목공")</f>
        <v>0</v>
      </c>
      <c r="AB274" s="64" t="s">
        <v>26</v>
      </c>
      <c r="AC274" s="64">
        <f>SUMIF(AJ258:AJ277,"목국",F258:F277)+SUMIF(AJ258:AJ277,"목공",F258:F277)</f>
        <v>0</v>
      </c>
      <c r="AD274" s="65">
        <f>SUMIF(AK258:AK277,"목국",K258:K277)+SUMIF(AK258:AK277,"목공",K258:K277)</f>
        <v>0</v>
      </c>
      <c r="AE274" s="64">
        <f t="shared" si="52"/>
        <v>0</v>
      </c>
      <c r="AF274" s="65">
        <f t="shared" si="52"/>
        <v>0</v>
      </c>
      <c r="AG274" s="64" t="s">
        <v>26</v>
      </c>
      <c r="AH274" s="64">
        <f t="shared" si="53"/>
        <v>0</v>
      </c>
      <c r="AI274" s="65">
        <f t="shared" si="53"/>
        <v>0</v>
      </c>
      <c r="AJ274" s="64" t="str">
        <f t="shared" si="54"/>
        <v/>
      </c>
      <c r="AK274" s="64" t="str">
        <f t="shared" si="55"/>
        <v/>
      </c>
      <c r="AL274" s="66"/>
    </row>
    <row r="275" spans="1:38" s="67" customFormat="1" ht="24" customHeight="1" x14ac:dyDescent="0.15">
      <c r="A275" s="330">
        <v>258</v>
      </c>
      <c r="B275" s="331"/>
      <c r="C275" s="331"/>
      <c r="D275" s="331"/>
      <c r="E275" s="122"/>
      <c r="F275" s="122"/>
      <c r="G275" s="122"/>
      <c r="H275" s="396"/>
      <c r="I275" s="396"/>
      <c r="J275" s="338"/>
      <c r="K275" s="338"/>
      <c r="L275" s="332"/>
      <c r="M275" s="478"/>
      <c r="N275" s="457"/>
      <c r="O275" s="341"/>
      <c r="P275" s="331"/>
      <c r="Q275" s="331"/>
      <c r="R275" s="331"/>
      <c r="S275" s="276"/>
      <c r="T275" s="70"/>
      <c r="U275" s="70"/>
      <c r="V275" s="71"/>
      <c r="W275" s="70"/>
      <c r="X275" s="70"/>
      <c r="Y275" s="71"/>
      <c r="Z275" s="64"/>
      <c r="AA275" s="65"/>
      <c r="AB275" s="70"/>
      <c r="AC275" s="64"/>
      <c r="AD275" s="65"/>
      <c r="AE275" s="70"/>
      <c r="AF275" s="71"/>
      <c r="AG275" s="70"/>
      <c r="AH275" s="70"/>
      <c r="AI275" s="71"/>
      <c r="AJ275" s="64" t="str">
        <f t="shared" si="54"/>
        <v/>
      </c>
      <c r="AK275" s="64" t="str">
        <f t="shared" si="55"/>
        <v/>
      </c>
      <c r="AL275" s="66"/>
    </row>
    <row r="276" spans="1:38" s="67" customFormat="1" ht="24" customHeight="1" x14ac:dyDescent="0.15">
      <c r="A276" s="330">
        <v>259</v>
      </c>
      <c r="B276" s="331"/>
      <c r="C276" s="331"/>
      <c r="D276" s="331"/>
      <c r="E276" s="122"/>
      <c r="F276" s="122"/>
      <c r="G276" s="122"/>
      <c r="H276" s="396"/>
      <c r="I276" s="396"/>
      <c r="J276" s="338"/>
      <c r="K276" s="338"/>
      <c r="L276" s="332"/>
      <c r="M276" s="478"/>
      <c r="N276" s="457"/>
      <c r="O276" s="341"/>
      <c r="P276" s="331"/>
      <c r="Q276" s="331"/>
      <c r="R276" s="331"/>
      <c r="S276" s="276"/>
      <c r="T276" s="70"/>
      <c r="U276" s="70"/>
      <c r="V276" s="71"/>
      <c r="W276" s="70"/>
      <c r="X276" s="70"/>
      <c r="Y276" s="71"/>
      <c r="Z276" s="64"/>
      <c r="AA276" s="65"/>
      <c r="AB276" s="70"/>
      <c r="AC276" s="64"/>
      <c r="AD276" s="65"/>
      <c r="AE276" s="70"/>
      <c r="AF276" s="71"/>
      <c r="AG276" s="70"/>
      <c r="AH276" s="70"/>
      <c r="AI276" s="71"/>
      <c r="AJ276" s="64" t="str">
        <f t="shared" si="54"/>
        <v/>
      </c>
      <c r="AK276" s="64" t="str">
        <f t="shared" si="55"/>
        <v/>
      </c>
      <c r="AL276" s="66"/>
    </row>
    <row r="277" spans="1:38" s="67" customFormat="1" ht="24" customHeight="1" x14ac:dyDescent="0.15">
      <c r="A277" s="379">
        <v>260</v>
      </c>
      <c r="B277" s="331"/>
      <c r="C277" s="380"/>
      <c r="D277" s="380"/>
      <c r="E277" s="381"/>
      <c r="F277" s="381"/>
      <c r="G277" s="381"/>
      <c r="H277" s="397"/>
      <c r="I277" s="397"/>
      <c r="J277" s="398"/>
      <c r="K277" s="398"/>
      <c r="L277" s="382"/>
      <c r="M277" s="479"/>
      <c r="N277" s="458"/>
      <c r="O277" s="459"/>
      <c r="P277" s="383"/>
      <c r="Q277" s="380"/>
      <c r="R277" s="380"/>
      <c r="S277" s="384"/>
      <c r="T277" s="72" t="s">
        <v>37</v>
      </c>
      <c r="U277" s="72">
        <f>COUNTIF(D258:D277,"철")</f>
        <v>0</v>
      </c>
      <c r="V277" s="73">
        <f>COUNTIF(I258:I277,"철")</f>
        <v>0</v>
      </c>
      <c r="W277" s="72" t="s">
        <v>26</v>
      </c>
      <c r="X277" s="72">
        <f>SUMIF(D258:D277,"철",F258:F277)</f>
        <v>0</v>
      </c>
      <c r="Y277" s="73">
        <f>SUMIF(I258:I277,"철",K258:K277)</f>
        <v>0</v>
      </c>
      <c r="Z277" s="64">
        <f>COUNTIF(AJ258:AJ277,"철국")+COUNTIF(AJ258:AJ277,"철공")</f>
        <v>0</v>
      </c>
      <c r="AA277" s="65">
        <f>COUNTIF(AK258:AK277,"철국")+COUNTIF(AK258:AK277,"철공")</f>
        <v>0</v>
      </c>
      <c r="AB277" s="72" t="s">
        <v>26</v>
      </c>
      <c r="AC277" s="64">
        <f>SUMIF(AJ258:AJ277,"철국",F258:F277)+SUMIF(AJ258:AJ277,"철공",F258:F277)</f>
        <v>0</v>
      </c>
      <c r="AD277" s="65">
        <f>SUMIF(AK258:AK277,"철국",K258:K277)+SUMIF(AK258:AK277,"철공",K258:K277)</f>
        <v>0</v>
      </c>
      <c r="AE277" s="72"/>
      <c r="AF277" s="73"/>
      <c r="AG277" s="72"/>
      <c r="AH277" s="72"/>
      <c r="AI277" s="73"/>
      <c r="AJ277" s="64" t="str">
        <f t="shared" si="54"/>
        <v/>
      </c>
      <c r="AK277" s="64" t="str">
        <f t="shared" si="55"/>
        <v/>
      </c>
      <c r="AL277" s="66"/>
    </row>
    <row r="278" spans="1:38" s="67" customFormat="1" ht="24" customHeight="1" thickBot="1" x14ac:dyDescent="0.2">
      <c r="A278" s="147" t="s">
        <v>48</v>
      </c>
      <c r="B278" s="148"/>
      <c r="C278" s="178"/>
      <c r="D278" s="178"/>
      <c r="E278" s="293"/>
      <c r="F278" s="325">
        <f>SUM(F258:F277)</f>
        <v>0</v>
      </c>
      <c r="G278" s="295"/>
      <c r="H278" s="295"/>
      <c r="I278" s="296"/>
      <c r="J278" s="297"/>
      <c r="K278" s="326">
        <f>SUM(K258:K277)</f>
        <v>0</v>
      </c>
      <c r="L278" s="150"/>
      <c r="M278" s="150"/>
      <c r="N278" s="432"/>
      <c r="O278" s="432"/>
      <c r="P278" s="150"/>
      <c r="Q278" s="150"/>
      <c r="R278" s="150"/>
      <c r="S278" s="151"/>
      <c r="T278" s="62" t="s">
        <v>24</v>
      </c>
      <c r="U278" s="63">
        <f t="shared" ref="U278:AA278" si="56">SUM(U258:U277)</f>
        <v>0</v>
      </c>
      <c r="V278" s="63">
        <f t="shared" si="56"/>
        <v>0</v>
      </c>
      <c r="W278" s="63">
        <f t="shared" si="56"/>
        <v>0</v>
      </c>
      <c r="X278" s="63">
        <f t="shared" si="56"/>
        <v>0</v>
      </c>
      <c r="Y278" s="63">
        <f t="shared" si="56"/>
        <v>0</v>
      </c>
      <c r="Z278" s="277">
        <f t="shared" si="56"/>
        <v>0</v>
      </c>
      <c r="AA278" s="278">
        <f t="shared" si="56"/>
        <v>0</v>
      </c>
      <c r="AB278" s="277" t="s">
        <v>26</v>
      </c>
      <c r="AC278" s="277">
        <f>SUM(AC258:AC277)</f>
        <v>0</v>
      </c>
      <c r="AD278" s="278">
        <f>SUM(AD258:AD277)</f>
        <v>0</v>
      </c>
      <c r="AE278" s="63">
        <f>SUM(AE258:AE277)</f>
        <v>0</v>
      </c>
      <c r="AF278" s="63">
        <f>SUM(AF258:AF277)</f>
        <v>0</v>
      </c>
      <c r="AG278" s="63" t="s">
        <v>26</v>
      </c>
      <c r="AH278" s="63">
        <f>SUM(AH258:AH277)</f>
        <v>0</v>
      </c>
      <c r="AI278" s="63">
        <f>SUM(AI258:AI277)</f>
        <v>0</v>
      </c>
      <c r="AJ278" s="63"/>
      <c r="AK278" s="64" t="str">
        <f t="shared" si="55"/>
        <v/>
      </c>
      <c r="AL278" s="66"/>
    </row>
    <row r="279" spans="1:38" s="67" customFormat="1" ht="24" customHeight="1" x14ac:dyDescent="0.15">
      <c r="A279" s="388">
        <v>261</v>
      </c>
      <c r="B279" s="215"/>
      <c r="C279" s="335"/>
      <c r="D279" s="389"/>
      <c r="E279" s="336"/>
      <c r="F279" s="336"/>
      <c r="G279" s="336"/>
      <c r="H279" s="389"/>
      <c r="I279" s="335"/>
      <c r="J279" s="336"/>
      <c r="K279" s="336"/>
      <c r="L279" s="390"/>
      <c r="M279" s="335"/>
      <c r="N279" s="460"/>
      <c r="O279" s="337"/>
      <c r="P279" s="335"/>
      <c r="Q279" s="335"/>
      <c r="R279" s="335"/>
      <c r="S279" s="391"/>
      <c r="T279" s="64" t="s">
        <v>27</v>
      </c>
      <c r="U279" s="64">
        <f>COUNTIF(D279:D298,"전")</f>
        <v>0</v>
      </c>
      <c r="V279" s="65">
        <f>COUNTIF(I279:I298,"전")</f>
        <v>0</v>
      </c>
      <c r="W279" s="64" t="s">
        <v>26</v>
      </c>
      <c r="X279" s="64">
        <f>SUMIF(D279:D298,"전",F279:F298)</f>
        <v>0</v>
      </c>
      <c r="Y279" s="65">
        <f>SUMIF(I279:I298,"전",K279:K298)</f>
        <v>0</v>
      </c>
      <c r="Z279" s="64">
        <f>COUNTIF(AJ279:AJ298,"전국")+COUNTIF(AJ279:AJ298,"전공")</f>
        <v>0</v>
      </c>
      <c r="AA279" s="65">
        <f>COUNTIF(AK279:AK298,"전국")+COUNTIF(AK279:AK298,"전공")</f>
        <v>0</v>
      </c>
      <c r="AB279" s="64" t="s">
        <v>26</v>
      </c>
      <c r="AC279" s="64">
        <f>SUMIF(AJ279:AJ298,"전국",F279:F298)+SUMIF(AJ279:AJ298,"전공",F279:F298)</f>
        <v>0</v>
      </c>
      <c r="AD279" s="65">
        <f>SUMIF(AK279:AK298,"전국",K279:K298)+SUMIF(AK279:AK298,"전공",K279:K298)</f>
        <v>0</v>
      </c>
      <c r="AE279" s="64">
        <f t="shared" ref="AE279:AF295" si="57">U279-Z279</f>
        <v>0</v>
      </c>
      <c r="AF279" s="65">
        <f t="shared" si="57"/>
        <v>0</v>
      </c>
      <c r="AG279" s="64" t="s">
        <v>26</v>
      </c>
      <c r="AH279" s="64">
        <f t="shared" ref="AH279:AI295" si="58">X279-AC279</f>
        <v>0</v>
      </c>
      <c r="AI279" s="65">
        <f t="shared" si="58"/>
        <v>0</v>
      </c>
      <c r="AJ279" s="64" t="str">
        <f t="shared" ref="AJ279:AJ298" si="59">CONCATENATE(D279,L279)</f>
        <v/>
      </c>
      <c r="AK279" s="64" t="str">
        <f t="shared" si="55"/>
        <v/>
      </c>
      <c r="AL279" s="66"/>
    </row>
    <row r="280" spans="1:38" s="67" customFormat="1" ht="24" customHeight="1" x14ac:dyDescent="0.15">
      <c r="A280" s="330">
        <v>262</v>
      </c>
      <c r="B280" s="121"/>
      <c r="C280" s="205"/>
      <c r="D280" s="331"/>
      <c r="E280" s="122"/>
      <c r="F280" s="122"/>
      <c r="G280" s="122"/>
      <c r="H280" s="331"/>
      <c r="I280" s="205"/>
      <c r="J280" s="122"/>
      <c r="K280" s="122"/>
      <c r="L280" s="333"/>
      <c r="M280" s="205"/>
      <c r="N280" s="436"/>
      <c r="O280" s="341"/>
      <c r="P280" s="205"/>
      <c r="Q280" s="205"/>
      <c r="R280" s="205"/>
      <c r="S280" s="276"/>
      <c r="T280" s="64" t="s">
        <v>28</v>
      </c>
      <c r="U280" s="64">
        <f>COUNTIF(D279:D298,"답")</f>
        <v>0</v>
      </c>
      <c r="V280" s="65">
        <f>COUNTIF(I279:I298,"답")</f>
        <v>0</v>
      </c>
      <c r="W280" s="64" t="s">
        <v>26</v>
      </c>
      <c r="X280" s="64">
        <f>SUMIF(D279:D298,"답",F279:F298)</f>
        <v>0</v>
      </c>
      <c r="Y280" s="65">
        <f>SUMIF(I279:I298,"답",K279:K298)</f>
        <v>0</v>
      </c>
      <c r="Z280" s="64">
        <f>COUNTIF(AJ279:AJ298,"답국")+COUNTIF(AJ279:AJ298,"답공")</f>
        <v>0</v>
      </c>
      <c r="AA280" s="65">
        <f>COUNTIF(AK279:AK298,"답국")+COUNTIF(AK279:AK298,"답공")</f>
        <v>0</v>
      </c>
      <c r="AB280" s="64" t="s">
        <v>26</v>
      </c>
      <c r="AC280" s="64">
        <f>SUMIF(AJ279:AJ298,"답국",F279:F298)+SUMIF(AJ279:AJ298,"답공",F279:F298)</f>
        <v>0</v>
      </c>
      <c r="AD280" s="65">
        <f>SUMIF(AK279:AK298,"답국",K279:K298)+SUMIF(AK279:AK298,"답공",K279:K298)</f>
        <v>0</v>
      </c>
      <c r="AE280" s="64">
        <f t="shared" si="57"/>
        <v>0</v>
      </c>
      <c r="AF280" s="65">
        <f t="shared" si="57"/>
        <v>0</v>
      </c>
      <c r="AG280" s="64" t="s">
        <v>26</v>
      </c>
      <c r="AH280" s="64">
        <f t="shared" si="58"/>
        <v>0</v>
      </c>
      <c r="AI280" s="65">
        <f t="shared" si="58"/>
        <v>0</v>
      </c>
      <c r="AJ280" s="64" t="str">
        <f t="shared" si="59"/>
        <v/>
      </c>
      <c r="AK280" s="64" t="str">
        <f t="shared" si="55"/>
        <v/>
      </c>
      <c r="AL280" s="66"/>
    </row>
    <row r="281" spans="1:38" s="67" customFormat="1" ht="24" customHeight="1" x14ac:dyDescent="0.15">
      <c r="A281" s="330">
        <v>263</v>
      </c>
      <c r="B281" s="121"/>
      <c r="C281" s="205"/>
      <c r="D281" s="331"/>
      <c r="E281" s="122"/>
      <c r="F281" s="122"/>
      <c r="G281" s="122"/>
      <c r="H281" s="331"/>
      <c r="I281" s="205"/>
      <c r="J281" s="122"/>
      <c r="K281" s="122"/>
      <c r="L281" s="333"/>
      <c r="M281" s="205"/>
      <c r="N281" s="436"/>
      <c r="O281" s="341"/>
      <c r="P281" s="205"/>
      <c r="Q281" s="205"/>
      <c r="R281" s="205"/>
      <c r="S281" s="276"/>
      <c r="T281" s="64" t="s">
        <v>44</v>
      </c>
      <c r="U281" s="64">
        <f>COUNTIF(D279:D298,"임")</f>
        <v>0</v>
      </c>
      <c r="V281" s="65">
        <f>COUNTIF(I279:I298,"임")</f>
        <v>0</v>
      </c>
      <c r="W281" s="64" t="s">
        <v>26</v>
      </c>
      <c r="X281" s="64">
        <f>SUMIF(D279:D298,"임",F279:F298)</f>
        <v>0</v>
      </c>
      <c r="Y281" s="65">
        <f>SUMIF(I279:I298,"임",K279:K298)</f>
        <v>0</v>
      </c>
      <c r="Z281" s="64">
        <f>COUNTIF(AJ279:AJ298,"임국")+COUNTIF(AJ279:AJ298,"임공")</f>
        <v>0</v>
      </c>
      <c r="AA281" s="65">
        <f>COUNTIF(AK279:AK298,"임국")+COUNTIF(AK279:AK298,"임공")</f>
        <v>0</v>
      </c>
      <c r="AB281" s="64" t="s">
        <v>26</v>
      </c>
      <c r="AC281" s="64">
        <f>SUMIF(AJ279:AJ298,"임국",F279:F298)+SUMIF(AJ279:AJ298,"임공",F279:F298)</f>
        <v>0</v>
      </c>
      <c r="AD281" s="65">
        <f>SUMIF(AK279:AK298,"임국",K279:K298)+SUMIF(AK279:AK298,"임공",K279:K298)</f>
        <v>0</v>
      </c>
      <c r="AE281" s="64">
        <f t="shared" si="57"/>
        <v>0</v>
      </c>
      <c r="AF281" s="65">
        <f t="shared" si="57"/>
        <v>0</v>
      </c>
      <c r="AG281" s="64" t="s">
        <v>26</v>
      </c>
      <c r="AH281" s="64">
        <f t="shared" si="58"/>
        <v>0</v>
      </c>
      <c r="AI281" s="65">
        <f t="shared" si="58"/>
        <v>0</v>
      </c>
      <c r="AJ281" s="64" t="str">
        <f t="shared" si="59"/>
        <v/>
      </c>
      <c r="AK281" s="64" t="str">
        <f t="shared" si="55"/>
        <v/>
      </c>
      <c r="AL281" s="66"/>
    </row>
    <row r="282" spans="1:38" s="67" customFormat="1" ht="24" customHeight="1" x14ac:dyDescent="0.15">
      <c r="A282" s="330">
        <v>264</v>
      </c>
      <c r="B282" s="121"/>
      <c r="C282" s="205"/>
      <c r="D282" s="331"/>
      <c r="E282" s="122"/>
      <c r="F282" s="122"/>
      <c r="G282" s="122"/>
      <c r="H282" s="331"/>
      <c r="I282" s="205"/>
      <c r="J282" s="122"/>
      <c r="K282" s="122"/>
      <c r="L282" s="333"/>
      <c r="M282" s="471"/>
      <c r="N282" s="436"/>
      <c r="O282" s="341"/>
      <c r="P282" s="205"/>
      <c r="Q282" s="205"/>
      <c r="R282" s="205"/>
      <c r="S282" s="276"/>
      <c r="T282" s="64" t="s">
        <v>45</v>
      </c>
      <c r="U282" s="64">
        <f>COUNTIF(D279:D298,"대")</f>
        <v>0</v>
      </c>
      <c r="V282" s="65">
        <f>COUNTIF(I279:I298,"대")</f>
        <v>0</v>
      </c>
      <c r="W282" s="64" t="s">
        <v>26</v>
      </c>
      <c r="X282" s="64">
        <f>SUMIF(D279:D298,"대",F279:F298)</f>
        <v>0</v>
      </c>
      <c r="Y282" s="65">
        <f>SUMIF(I279:I298,"대",K279:K298)</f>
        <v>0</v>
      </c>
      <c r="Z282" s="64">
        <f>COUNTIF(AJ279:AJ298,"대국")+COUNTIF(AJ279:AJ298,"대공")</f>
        <v>0</v>
      </c>
      <c r="AA282" s="65">
        <f>COUNTIF(AK279:AK298,"대국")+COUNTIF(AK279:AK298,"대공")</f>
        <v>0</v>
      </c>
      <c r="AB282" s="64" t="s">
        <v>26</v>
      </c>
      <c r="AC282" s="64">
        <f>SUMIF(AJ279:AJ298,"대국",F279:F298)+SUMIF(AJ279:AJ298,"대공",F279:F298)</f>
        <v>0</v>
      </c>
      <c r="AD282" s="65">
        <f>SUMIF(AK279:AK298,"대국",K279:K298)+SUMIF(AK279:AK298,"대공",K279:K298)</f>
        <v>0</v>
      </c>
      <c r="AE282" s="64">
        <f t="shared" si="57"/>
        <v>0</v>
      </c>
      <c r="AF282" s="65">
        <f t="shared" si="57"/>
        <v>0</v>
      </c>
      <c r="AG282" s="64" t="s">
        <v>26</v>
      </c>
      <c r="AH282" s="64">
        <f t="shared" si="58"/>
        <v>0</v>
      </c>
      <c r="AI282" s="65">
        <f t="shared" si="58"/>
        <v>0</v>
      </c>
      <c r="AJ282" s="64" t="str">
        <f t="shared" si="59"/>
        <v/>
      </c>
      <c r="AK282" s="64" t="str">
        <f t="shared" si="55"/>
        <v/>
      </c>
      <c r="AL282" s="66"/>
    </row>
    <row r="283" spans="1:38" s="67" customFormat="1" ht="24" customHeight="1" x14ac:dyDescent="0.15">
      <c r="A283" s="330">
        <v>265</v>
      </c>
      <c r="B283" s="121"/>
      <c r="C283" s="205"/>
      <c r="D283" s="331"/>
      <c r="E283" s="122"/>
      <c r="F283" s="122"/>
      <c r="G283" s="122"/>
      <c r="H283" s="331"/>
      <c r="I283" s="205"/>
      <c r="J283" s="122"/>
      <c r="K283" s="122"/>
      <c r="L283" s="333"/>
      <c r="M283" s="205"/>
      <c r="N283" s="436"/>
      <c r="O283" s="341"/>
      <c r="P283" s="205"/>
      <c r="Q283" s="205"/>
      <c r="R283" s="205"/>
      <c r="S283" s="276"/>
      <c r="T283" s="64" t="s">
        <v>31</v>
      </c>
      <c r="U283" s="64">
        <f>COUNTIF(D279:D298,"도")</f>
        <v>0</v>
      </c>
      <c r="V283" s="65">
        <f>COUNTIF(I279:I298,"도")</f>
        <v>0</v>
      </c>
      <c r="W283" s="64" t="s">
        <v>26</v>
      </c>
      <c r="X283" s="64">
        <f>SUMIF(D279:D298,"도",F279:F298)</f>
        <v>0</v>
      </c>
      <c r="Y283" s="65">
        <f>SUMIF(I279:I298,"도",K279:K298)</f>
        <v>0</v>
      </c>
      <c r="Z283" s="64">
        <f>COUNTIF(AJ279:AJ298,"도국")+COUNTIF(AJ279:AJ298,"도공")</f>
        <v>0</v>
      </c>
      <c r="AA283" s="65">
        <f>COUNTIF(AK279:AK298,"도국")+COUNTIF(AK279:AK298,"도공")</f>
        <v>0</v>
      </c>
      <c r="AB283" s="64" t="s">
        <v>26</v>
      </c>
      <c r="AC283" s="64">
        <f>SUMIF(AJ279:AJ298,"도국",F279:F298)+SUMIF(AJ279:AJ298,"도공",F279:F298)</f>
        <v>0</v>
      </c>
      <c r="AD283" s="65">
        <f>SUMIF(AK279:AK298,"도국",K279:K298)+SUMIF(AK279:AK298,"도공",K279:K298)</f>
        <v>0</v>
      </c>
      <c r="AE283" s="64">
        <f t="shared" si="57"/>
        <v>0</v>
      </c>
      <c r="AF283" s="65">
        <f t="shared" si="57"/>
        <v>0</v>
      </c>
      <c r="AG283" s="64" t="s">
        <v>26</v>
      </c>
      <c r="AH283" s="64">
        <f t="shared" si="58"/>
        <v>0</v>
      </c>
      <c r="AI283" s="65">
        <f t="shared" si="58"/>
        <v>0</v>
      </c>
      <c r="AJ283" s="64" t="str">
        <f t="shared" si="59"/>
        <v/>
      </c>
      <c r="AK283" s="64" t="str">
        <f t="shared" si="55"/>
        <v/>
      </c>
      <c r="AL283" s="66"/>
    </row>
    <row r="284" spans="1:38" s="67" customFormat="1" ht="24" customHeight="1" x14ac:dyDescent="0.15">
      <c r="A284" s="330">
        <v>266</v>
      </c>
      <c r="B284" s="121"/>
      <c r="C284" s="205"/>
      <c r="D284" s="331"/>
      <c r="E284" s="122"/>
      <c r="F284" s="122"/>
      <c r="G284" s="122"/>
      <c r="H284" s="331"/>
      <c r="I284" s="205"/>
      <c r="J284" s="122"/>
      <c r="K284" s="122"/>
      <c r="L284" s="333"/>
      <c r="M284" s="471"/>
      <c r="N284" s="436"/>
      <c r="O284" s="341"/>
      <c r="P284" s="205"/>
      <c r="Q284" s="205"/>
      <c r="R284" s="205"/>
      <c r="S284" s="276"/>
      <c r="T284" s="64" t="s">
        <v>32</v>
      </c>
      <c r="U284" s="68">
        <f>COUNTIF(D279:D298,"천")</f>
        <v>0</v>
      </c>
      <c r="V284" s="69">
        <f>COUNTIF(I279:I298,"천")</f>
        <v>0</v>
      </c>
      <c r="W284" s="64" t="s">
        <v>26</v>
      </c>
      <c r="X284" s="64">
        <f>SUMIF(D279:D298,"천",F279:F298)</f>
        <v>0</v>
      </c>
      <c r="Y284" s="65">
        <f>SUMIF(I279:I298,"천",K279:K298)</f>
        <v>0</v>
      </c>
      <c r="Z284" s="64">
        <f>COUNTIF(AJ279:AJ298,"천국")+COUNTIF(AJ279:AJ298,"천공")</f>
        <v>0</v>
      </c>
      <c r="AA284" s="65">
        <f>COUNTIF(AK279:AK298,"천국")+COUNTIF(AK279:AK298,"천공")</f>
        <v>0</v>
      </c>
      <c r="AB284" s="64" t="s">
        <v>26</v>
      </c>
      <c r="AC284" s="64">
        <f>SUMIF(AJ279:AJ298,"천국",F279:F298)+SUMIF(AJ279:AJ298,"천공",F279:F298)</f>
        <v>0</v>
      </c>
      <c r="AD284" s="65">
        <f>SUMIF(AK279:AK298,"천국",K279:K298)+SUMIF(AK279:AK298,"천공",K279:K298)</f>
        <v>0</v>
      </c>
      <c r="AE284" s="64">
        <f t="shared" si="57"/>
        <v>0</v>
      </c>
      <c r="AF284" s="65">
        <f t="shared" si="57"/>
        <v>0</v>
      </c>
      <c r="AG284" s="64" t="s">
        <v>26</v>
      </c>
      <c r="AH284" s="64">
        <f t="shared" si="58"/>
        <v>0</v>
      </c>
      <c r="AI284" s="65">
        <f t="shared" si="58"/>
        <v>0</v>
      </c>
      <c r="AJ284" s="64" t="str">
        <f t="shared" si="59"/>
        <v/>
      </c>
      <c r="AK284" s="64" t="str">
        <f t="shared" si="55"/>
        <v/>
      </c>
      <c r="AL284" s="66"/>
    </row>
    <row r="285" spans="1:38" s="67" customFormat="1" ht="24" customHeight="1" x14ac:dyDescent="0.15">
      <c r="A285" s="330">
        <v>267</v>
      </c>
      <c r="B285" s="121"/>
      <c r="C285" s="205"/>
      <c r="D285" s="331"/>
      <c r="E285" s="122"/>
      <c r="F285" s="122"/>
      <c r="G285" s="122"/>
      <c r="H285" s="331"/>
      <c r="I285" s="205"/>
      <c r="J285" s="122"/>
      <c r="K285" s="122"/>
      <c r="L285" s="333"/>
      <c r="M285" s="205"/>
      <c r="N285" s="436"/>
      <c r="O285" s="341"/>
      <c r="P285" s="205"/>
      <c r="Q285" s="205"/>
      <c r="R285" s="205"/>
      <c r="S285" s="276"/>
      <c r="T285" s="64" t="s">
        <v>33</v>
      </c>
      <c r="U285" s="64">
        <f>COUNTIF(D279:D298,"구")</f>
        <v>0</v>
      </c>
      <c r="V285" s="65">
        <f>COUNTIF(I279:I298,"구")</f>
        <v>0</v>
      </c>
      <c r="W285" s="64" t="s">
        <v>26</v>
      </c>
      <c r="X285" s="64">
        <f>SUMIF(D279:D298,"구",F279:F298)</f>
        <v>0</v>
      </c>
      <c r="Y285" s="65">
        <f>SUMIF(I279:I298,"구",K279:K298)</f>
        <v>0</v>
      </c>
      <c r="Z285" s="64">
        <f>COUNTIF(AJ279:AJ298,"구국")+COUNTIF(AJ279:AJ298,"구공")</f>
        <v>0</v>
      </c>
      <c r="AA285" s="65">
        <f>COUNTIF(AK279:AK298,"구국")+COUNTIF(AK279:AK298,"구공")</f>
        <v>0</v>
      </c>
      <c r="AB285" s="64" t="s">
        <v>26</v>
      </c>
      <c r="AC285" s="64">
        <f>SUMIF(AJ279:AJ298,"구국",F279:F298)+SUMIF(AJ279:AJ298,"구공",F279:F298)</f>
        <v>0</v>
      </c>
      <c r="AD285" s="65">
        <f>SUMIF(AK279:AK298,"구국",K279:K298)+SUMIF(AK279:AK298,"구공",K279:K298)</f>
        <v>0</v>
      </c>
      <c r="AE285" s="64">
        <f t="shared" si="57"/>
        <v>0</v>
      </c>
      <c r="AF285" s="65">
        <f t="shared" si="57"/>
        <v>0</v>
      </c>
      <c r="AG285" s="64" t="s">
        <v>26</v>
      </c>
      <c r="AH285" s="64">
        <f t="shared" si="58"/>
        <v>0</v>
      </c>
      <c r="AI285" s="65">
        <f t="shared" si="58"/>
        <v>0</v>
      </c>
      <c r="AJ285" s="64" t="str">
        <f t="shared" si="59"/>
        <v/>
      </c>
      <c r="AK285" s="64" t="str">
        <f t="shared" si="55"/>
        <v/>
      </c>
      <c r="AL285" s="66"/>
    </row>
    <row r="286" spans="1:38" s="67" customFormat="1" ht="24" customHeight="1" x14ac:dyDescent="0.15">
      <c r="A286" s="330">
        <v>268</v>
      </c>
      <c r="B286" s="121"/>
      <c r="C286" s="331"/>
      <c r="D286" s="331"/>
      <c r="E286" s="122"/>
      <c r="F286" s="122"/>
      <c r="G286" s="122"/>
      <c r="H286" s="331"/>
      <c r="I286" s="331"/>
      <c r="J286" s="122"/>
      <c r="K286" s="122"/>
      <c r="L286" s="332"/>
      <c r="M286" s="471"/>
      <c r="N286" s="457"/>
      <c r="O286" s="341"/>
      <c r="P286" s="205"/>
      <c r="Q286" s="205"/>
      <c r="R286" s="205"/>
      <c r="S286" s="276"/>
      <c r="T286" s="64" t="s">
        <v>34</v>
      </c>
      <c r="U286" s="64">
        <f>COUNTIF(D279:D298,"제")</f>
        <v>0</v>
      </c>
      <c r="V286" s="65">
        <f>COUNTIF(I279:I298,"제")</f>
        <v>0</v>
      </c>
      <c r="W286" s="64" t="s">
        <v>26</v>
      </c>
      <c r="X286" s="64">
        <f>SUMIF(D279:D298,"제",F279:F298)</f>
        <v>0</v>
      </c>
      <c r="Y286" s="65">
        <f>SUMIF(I279:I298,"제",K279:K298)</f>
        <v>0</v>
      </c>
      <c r="Z286" s="64">
        <f>COUNTIF(AJ279:AJ298,"제국")+COUNTIF(AJ279:AJ298,"제공")</f>
        <v>0</v>
      </c>
      <c r="AA286" s="65">
        <f>COUNTIF(AK279:AK298,"제국")+COUNTIF(AK279:AK298,"제공")</f>
        <v>0</v>
      </c>
      <c r="AB286" s="64" t="s">
        <v>26</v>
      </c>
      <c r="AC286" s="64">
        <f>SUMIF(AJ279:AJ298,"제국",F279:F298)+SUMIF(AJ279:AJ298,"제공",F279:F298)</f>
        <v>0</v>
      </c>
      <c r="AD286" s="65">
        <f>SUMIF(AK279:AK298,"제국",K279:K298)+SUMIF(AK279:AK298,"제공",K279:K298)</f>
        <v>0</v>
      </c>
      <c r="AE286" s="64">
        <f t="shared" si="57"/>
        <v>0</v>
      </c>
      <c r="AF286" s="65">
        <f t="shared" si="57"/>
        <v>0</v>
      </c>
      <c r="AG286" s="64" t="s">
        <v>26</v>
      </c>
      <c r="AH286" s="64">
        <f t="shared" si="58"/>
        <v>0</v>
      </c>
      <c r="AI286" s="65">
        <f t="shared" si="58"/>
        <v>0</v>
      </c>
      <c r="AJ286" s="64" t="str">
        <f t="shared" si="59"/>
        <v/>
      </c>
      <c r="AK286" s="64" t="str">
        <f t="shared" si="55"/>
        <v/>
      </c>
      <c r="AL286" s="66"/>
    </row>
    <row r="287" spans="1:38" s="67" customFormat="1" ht="24" customHeight="1" x14ac:dyDescent="0.15">
      <c r="A287" s="330">
        <v>269</v>
      </c>
      <c r="B287" s="121"/>
      <c r="C287" s="331"/>
      <c r="D287" s="331"/>
      <c r="E287" s="122"/>
      <c r="F287" s="122"/>
      <c r="G287" s="122"/>
      <c r="H287" s="331"/>
      <c r="I287" s="331"/>
      <c r="J287" s="122"/>
      <c r="K287" s="122"/>
      <c r="L287" s="332"/>
      <c r="M287" s="205"/>
      <c r="N287" s="457"/>
      <c r="O287" s="341"/>
      <c r="P287" s="331"/>
      <c r="Q287" s="331"/>
      <c r="R287" s="331"/>
      <c r="S287" s="276"/>
      <c r="T287" s="64" t="s">
        <v>46</v>
      </c>
      <c r="U287" s="64">
        <f>COUNTIF(D279:D298,"유")</f>
        <v>0</v>
      </c>
      <c r="V287" s="65">
        <f>COUNTIF(I279:I298,"유")</f>
        <v>0</v>
      </c>
      <c r="W287" s="64" t="s">
        <v>26</v>
      </c>
      <c r="X287" s="64">
        <f>SUMIF(D279:D298,"유",F279:F298)</f>
        <v>0</v>
      </c>
      <c r="Y287" s="65">
        <f>SUMIF(I279:I298,"유",K279:K298)</f>
        <v>0</v>
      </c>
      <c r="Z287" s="64">
        <f>COUNTIF(AJ279:AJ298,"유국")+COUNTIF(AJ279:AJ298,"유공")</f>
        <v>0</v>
      </c>
      <c r="AA287" s="65">
        <f>COUNTIF(AK279:AK298,"유국")+COUNTIF(AK279:AK298,"유공")</f>
        <v>0</v>
      </c>
      <c r="AB287" s="64" t="s">
        <v>26</v>
      </c>
      <c r="AC287" s="64">
        <f>SUMIF(AJ279:AJ298,"유국",F279:F298)+SUMIF(AJ279:AJ298,"유공",F279:F298)</f>
        <v>0</v>
      </c>
      <c r="AD287" s="65">
        <f>SUMIF(AK279:AK298,"유국",K279:K298)+SUMIF(AK279:AK298,"유공",K279:K298)</f>
        <v>0</v>
      </c>
      <c r="AE287" s="64">
        <f t="shared" si="57"/>
        <v>0</v>
      </c>
      <c r="AF287" s="65">
        <f t="shared" si="57"/>
        <v>0</v>
      </c>
      <c r="AG287" s="64" t="s">
        <v>26</v>
      </c>
      <c r="AH287" s="64">
        <f t="shared" si="58"/>
        <v>0</v>
      </c>
      <c r="AI287" s="65">
        <f t="shared" si="58"/>
        <v>0</v>
      </c>
      <c r="AJ287" s="64" t="str">
        <f t="shared" si="59"/>
        <v/>
      </c>
      <c r="AK287" s="64" t="str">
        <f t="shared" si="55"/>
        <v/>
      </c>
      <c r="AL287" s="66"/>
    </row>
    <row r="288" spans="1:38" s="67" customFormat="1" ht="24" customHeight="1" x14ac:dyDescent="0.15">
      <c r="A288" s="330">
        <v>270</v>
      </c>
      <c r="B288" s="121"/>
      <c r="C288" s="331"/>
      <c r="D288" s="331"/>
      <c r="E288" s="122"/>
      <c r="F288" s="122"/>
      <c r="G288" s="122"/>
      <c r="H288" s="331"/>
      <c r="I288" s="331"/>
      <c r="J288" s="122"/>
      <c r="K288" s="122"/>
      <c r="L288" s="332"/>
      <c r="M288" s="471"/>
      <c r="N288" s="457"/>
      <c r="O288" s="341"/>
      <c r="P288" s="331"/>
      <c r="Q288" s="331"/>
      <c r="R288" s="331"/>
      <c r="S288" s="276"/>
      <c r="T288" s="64" t="s">
        <v>47</v>
      </c>
      <c r="U288" s="64">
        <f>COUNTIF(D279:D298,"과")</f>
        <v>0</v>
      </c>
      <c r="V288" s="65">
        <f>COUNTIF(I279:I298,"과")</f>
        <v>0</v>
      </c>
      <c r="W288" s="64" t="s">
        <v>26</v>
      </c>
      <c r="X288" s="64">
        <f>SUMIF(D279:D298,"과",F279:F298)</f>
        <v>0</v>
      </c>
      <c r="Y288" s="65">
        <f>SUMIF(I279:I298,"과",K279:K298)</f>
        <v>0</v>
      </c>
      <c r="Z288" s="64">
        <f>COUNTIF(AJ279:AJ298,"과국")+COUNTIF(AJ279:AJ298,"과공")</f>
        <v>0</v>
      </c>
      <c r="AA288" s="65">
        <f>COUNTIF(AK279:AK298,"과국")+COUNTIF(AK279:AK298,"과공")</f>
        <v>0</v>
      </c>
      <c r="AB288" s="64" t="s">
        <v>26</v>
      </c>
      <c r="AC288" s="64">
        <f>SUMIF(AJ279:AJ298,"과국",F279:F298)+SUMIF(AJ279:AJ298,"과공",F279:F298)</f>
        <v>0</v>
      </c>
      <c r="AD288" s="65">
        <f>SUMIF(AK279:AK298,"과국",K279:K298)+SUMIF(AK279:AK298,"과공",K279:K298)</f>
        <v>0</v>
      </c>
      <c r="AE288" s="64">
        <f t="shared" si="57"/>
        <v>0</v>
      </c>
      <c r="AF288" s="65">
        <f t="shared" si="57"/>
        <v>0</v>
      </c>
      <c r="AG288" s="64" t="s">
        <v>26</v>
      </c>
      <c r="AH288" s="64">
        <f t="shared" si="58"/>
        <v>0</v>
      </c>
      <c r="AI288" s="65">
        <f t="shared" si="58"/>
        <v>0</v>
      </c>
      <c r="AJ288" s="64" t="str">
        <f t="shared" si="59"/>
        <v/>
      </c>
      <c r="AK288" s="64" t="str">
        <f t="shared" si="55"/>
        <v/>
      </c>
      <c r="AL288" s="66"/>
    </row>
    <row r="289" spans="1:38" s="67" customFormat="1" ht="24" customHeight="1" x14ac:dyDescent="0.15">
      <c r="A289" s="330">
        <v>271</v>
      </c>
      <c r="B289" s="121"/>
      <c r="C289" s="331"/>
      <c r="D289" s="331"/>
      <c r="E289" s="122"/>
      <c r="F289" s="122"/>
      <c r="G289" s="122"/>
      <c r="H289" s="331"/>
      <c r="I289" s="331"/>
      <c r="J289" s="122"/>
      <c r="K289" s="122"/>
      <c r="L289" s="332"/>
      <c r="M289" s="471"/>
      <c r="N289" s="457"/>
      <c r="O289" s="341"/>
      <c r="P289" s="331"/>
      <c r="Q289" s="331"/>
      <c r="R289" s="331"/>
      <c r="S289" s="276"/>
      <c r="T289" s="64" t="s">
        <v>36</v>
      </c>
      <c r="U289" s="64">
        <f>COUNTIF(D279:D298,"묘")</f>
        <v>0</v>
      </c>
      <c r="V289" s="65">
        <f>COUNTIF(I279:I298,"묘")</f>
        <v>0</v>
      </c>
      <c r="W289" s="64" t="s">
        <v>26</v>
      </c>
      <c r="X289" s="64">
        <f>SUMIF(D279:D298,"묘",F279:F298)</f>
        <v>0</v>
      </c>
      <c r="Y289" s="65">
        <f>SUMIF(I279:I298,"묘",K279:K298)</f>
        <v>0</v>
      </c>
      <c r="Z289" s="64">
        <f>COUNTIF(AJ279:AJ298,"묘국")+COUNTIF(AJ279:AJ298,"묘공")</f>
        <v>0</v>
      </c>
      <c r="AA289" s="65">
        <f>COUNTIF(AK279:AK298,"묘국")+COUNTIF(AK279:AK298,"묘공")</f>
        <v>0</v>
      </c>
      <c r="AB289" s="64" t="s">
        <v>26</v>
      </c>
      <c r="AC289" s="64">
        <f>SUMIF(AJ279:AJ298,"묘국",F279:F298)+SUMIF(AJ279:AJ298,"묘공",F279:F298)</f>
        <v>0</v>
      </c>
      <c r="AD289" s="65">
        <f>SUMIF(AK279:AK298,"묘국",K279:K298)+SUMIF(AK279:AK298,"묘공",K279:K298)</f>
        <v>0</v>
      </c>
      <c r="AE289" s="64">
        <f t="shared" si="57"/>
        <v>0</v>
      </c>
      <c r="AF289" s="65">
        <f t="shared" si="57"/>
        <v>0</v>
      </c>
      <c r="AG289" s="64" t="s">
        <v>26</v>
      </c>
      <c r="AH289" s="64">
        <f t="shared" si="58"/>
        <v>0</v>
      </c>
      <c r="AI289" s="65">
        <f t="shared" si="58"/>
        <v>0</v>
      </c>
      <c r="AJ289" s="64" t="str">
        <f t="shared" si="59"/>
        <v/>
      </c>
      <c r="AK289" s="64" t="str">
        <f t="shared" si="55"/>
        <v/>
      </c>
      <c r="AL289" s="66"/>
    </row>
    <row r="290" spans="1:38" s="67" customFormat="1" ht="24" customHeight="1" x14ac:dyDescent="0.15">
      <c r="A290" s="330">
        <v>272</v>
      </c>
      <c r="B290" s="121"/>
      <c r="C290" s="331"/>
      <c r="D290" s="331"/>
      <c r="E290" s="122"/>
      <c r="F290" s="122"/>
      <c r="G290" s="122"/>
      <c r="H290" s="331"/>
      <c r="I290" s="331"/>
      <c r="J290" s="122"/>
      <c r="K290" s="122"/>
      <c r="L290" s="332"/>
      <c r="M290" s="205"/>
      <c r="N290" s="457"/>
      <c r="O290" s="341"/>
      <c r="P290" s="331"/>
      <c r="Q290" s="331"/>
      <c r="R290" s="331"/>
      <c r="S290" s="276"/>
      <c r="T290" s="64" t="s">
        <v>39</v>
      </c>
      <c r="U290" s="64">
        <f>COUNTIF(D279:D298,"수")</f>
        <v>0</v>
      </c>
      <c r="V290" s="65">
        <f>COUNTIF(I279:I298,"수")</f>
        <v>0</v>
      </c>
      <c r="W290" s="64" t="s">
        <v>26</v>
      </c>
      <c r="X290" s="64">
        <f>SUMIF(D279:D298,"수",F279:F298)</f>
        <v>0</v>
      </c>
      <c r="Y290" s="65">
        <f>SUMIF(I279:I298,"수",K279:K298)</f>
        <v>0</v>
      </c>
      <c r="Z290" s="64">
        <f>COUNTIF(AJ279:AJ298,"수국")+COUNTIF(AJ279:AJ298,"수공")</f>
        <v>0</v>
      </c>
      <c r="AA290" s="65">
        <f>COUNTIF(AK279:AK298,"수국")+COUNTIF(AK279:AK298,"수공")</f>
        <v>0</v>
      </c>
      <c r="AB290" s="64" t="s">
        <v>26</v>
      </c>
      <c r="AC290" s="64">
        <f>SUMIF(AJ279:AJ298,"수국",F279:F298)+SUMIF(AJ279:AJ298,"수공",F279:F298)</f>
        <v>0</v>
      </c>
      <c r="AD290" s="65">
        <f>SUMIF(AK279:AK298,"수국",K279:K298)+SUMIF(AK279:AK298,"수공",K279:K298)</f>
        <v>0</v>
      </c>
      <c r="AE290" s="64">
        <f t="shared" si="57"/>
        <v>0</v>
      </c>
      <c r="AF290" s="65">
        <f t="shared" si="57"/>
        <v>0</v>
      </c>
      <c r="AG290" s="64" t="s">
        <v>26</v>
      </c>
      <c r="AH290" s="64">
        <f t="shared" si="58"/>
        <v>0</v>
      </c>
      <c r="AI290" s="65">
        <f t="shared" si="58"/>
        <v>0</v>
      </c>
      <c r="AJ290" s="64" t="str">
        <f t="shared" si="59"/>
        <v/>
      </c>
      <c r="AK290" s="64" t="str">
        <f t="shared" si="55"/>
        <v/>
      </c>
      <c r="AL290" s="66"/>
    </row>
    <row r="291" spans="1:38" s="67" customFormat="1" ht="24" customHeight="1" x14ac:dyDescent="0.15">
      <c r="A291" s="330">
        <v>273</v>
      </c>
      <c r="B291" s="121"/>
      <c r="C291" s="331"/>
      <c r="D291" s="331"/>
      <c r="E291" s="122"/>
      <c r="F291" s="122"/>
      <c r="G291" s="122"/>
      <c r="H291" s="331"/>
      <c r="I291" s="331"/>
      <c r="J291" s="122"/>
      <c r="K291" s="122"/>
      <c r="L291" s="332"/>
      <c r="M291" s="205"/>
      <c r="N291" s="457"/>
      <c r="O291" s="341"/>
      <c r="P291" s="331"/>
      <c r="Q291" s="331"/>
      <c r="R291" s="331"/>
      <c r="S291" s="276"/>
      <c r="T291" s="64" t="s">
        <v>35</v>
      </c>
      <c r="U291" s="64">
        <f>COUNTIF(D279:D298,"잡")</f>
        <v>0</v>
      </c>
      <c r="V291" s="65">
        <f>COUNTIF(I279:I298,"잡")</f>
        <v>0</v>
      </c>
      <c r="W291" s="64" t="s">
        <v>26</v>
      </c>
      <c r="X291" s="64">
        <f>SUMIF(D279:D298,"잡",F279:F298)</f>
        <v>0</v>
      </c>
      <c r="Y291" s="65">
        <f>SUMIF(I279:I298,"잡",K279:K298)</f>
        <v>0</v>
      </c>
      <c r="Z291" s="64">
        <f>COUNTIF(AJ279:AJ298,"잡국")+COUNTIF(AJ279:AJ298,"잡공")</f>
        <v>0</v>
      </c>
      <c r="AA291" s="65">
        <f>COUNTIF(AK279:AK298,"잡국")+COUNTIF(AK279:AK298,"잡공")</f>
        <v>0</v>
      </c>
      <c r="AB291" s="64" t="s">
        <v>26</v>
      </c>
      <c r="AC291" s="64">
        <f>SUMIF(AJ279:AJ298,"잡국",F279:F298)+SUMIF(AJ279:AJ298,"잡공",F279:F298)</f>
        <v>0</v>
      </c>
      <c r="AD291" s="65">
        <f>SUMIF(AK279:AK298,"잡국",K279:K298)+SUMIF(AK279:AK298,"잡공",K279:K298)</f>
        <v>0</v>
      </c>
      <c r="AE291" s="64">
        <f t="shared" si="57"/>
        <v>0</v>
      </c>
      <c r="AF291" s="65">
        <f t="shared" si="57"/>
        <v>0</v>
      </c>
      <c r="AG291" s="64" t="s">
        <v>26</v>
      </c>
      <c r="AH291" s="64">
        <f t="shared" si="58"/>
        <v>0</v>
      </c>
      <c r="AI291" s="65">
        <f t="shared" si="58"/>
        <v>0</v>
      </c>
      <c r="AJ291" s="64" t="str">
        <f t="shared" si="59"/>
        <v/>
      </c>
      <c r="AK291" s="64" t="str">
        <f t="shared" si="55"/>
        <v/>
      </c>
      <c r="AL291" s="66"/>
    </row>
    <row r="292" spans="1:38" s="67" customFormat="1" ht="24" customHeight="1" x14ac:dyDescent="0.15">
      <c r="A292" s="330">
        <v>274</v>
      </c>
      <c r="B292" s="121"/>
      <c r="C292" s="331"/>
      <c r="D292" s="331"/>
      <c r="E292" s="122"/>
      <c r="F292" s="122"/>
      <c r="G292" s="122"/>
      <c r="H292" s="331"/>
      <c r="I292" s="331"/>
      <c r="J292" s="122"/>
      <c r="K292" s="122"/>
      <c r="L292" s="332"/>
      <c r="M292" s="478"/>
      <c r="N292" s="457"/>
      <c r="O292" s="341"/>
      <c r="P292" s="331"/>
      <c r="Q292" s="331"/>
      <c r="R292" s="331"/>
      <c r="S292" s="276"/>
      <c r="T292" s="64" t="s">
        <v>195</v>
      </c>
      <c r="U292" s="64">
        <f>COUNTIF(D279:D298,"창")</f>
        <v>0</v>
      </c>
      <c r="V292" s="65">
        <f>COUNTIF(I279:I298,"창")</f>
        <v>0</v>
      </c>
      <c r="W292" s="64" t="s">
        <v>26</v>
      </c>
      <c r="X292" s="64">
        <f>SUMIF(D279:D298,"창",F279:F298)</f>
        <v>0</v>
      </c>
      <c r="Y292" s="65">
        <f>SUMIF(I279:I298,"창",K279:K298)</f>
        <v>0</v>
      </c>
      <c r="Z292" s="64">
        <f>COUNTIF(AJ279:AJ298,"창국")+COUNTIF(AJ279:AJ298,"창공")</f>
        <v>0</v>
      </c>
      <c r="AA292" s="65">
        <f>COUNTIF(AK279:AK298,"창국")+COUNTIF(AK279:AK298,"창공")</f>
        <v>0</v>
      </c>
      <c r="AB292" s="64" t="s">
        <v>26</v>
      </c>
      <c r="AC292" s="64">
        <f>SUMIF(AJ279:AJ298,"창국",F279:F298)+SUMIF(AJ279:AJ298,"창공",F279:F298)</f>
        <v>0</v>
      </c>
      <c r="AD292" s="65">
        <f>SUMIF(AK279:AK298,"창국",K279:K298)+SUMIF(AK279:AK298,"창공",K279:K298)</f>
        <v>0</v>
      </c>
      <c r="AE292" s="64">
        <f t="shared" si="57"/>
        <v>0</v>
      </c>
      <c r="AF292" s="65">
        <f t="shared" si="57"/>
        <v>0</v>
      </c>
      <c r="AG292" s="64" t="s">
        <v>26</v>
      </c>
      <c r="AH292" s="64">
        <f t="shared" si="58"/>
        <v>0</v>
      </c>
      <c r="AI292" s="65">
        <f t="shared" si="58"/>
        <v>0</v>
      </c>
      <c r="AJ292" s="64" t="str">
        <f t="shared" si="59"/>
        <v/>
      </c>
      <c r="AK292" s="64" t="str">
        <f t="shared" si="55"/>
        <v/>
      </c>
      <c r="AL292" s="66"/>
    </row>
    <row r="293" spans="1:38" s="67" customFormat="1" ht="24" customHeight="1" x14ac:dyDescent="0.15">
      <c r="A293" s="330">
        <v>275</v>
      </c>
      <c r="B293" s="331"/>
      <c r="C293" s="331"/>
      <c r="D293" s="331"/>
      <c r="E293" s="122"/>
      <c r="F293" s="122"/>
      <c r="G293" s="122"/>
      <c r="H293" s="331"/>
      <c r="I293" s="331"/>
      <c r="J293" s="122"/>
      <c r="K293" s="122"/>
      <c r="L293" s="332"/>
      <c r="M293" s="205"/>
      <c r="N293" s="457"/>
      <c r="O293" s="341"/>
      <c r="P293" s="331"/>
      <c r="Q293" s="331"/>
      <c r="R293" s="331"/>
      <c r="S293" s="276"/>
      <c r="T293" s="64" t="s">
        <v>194</v>
      </c>
      <c r="U293" s="64">
        <f>COUNTIF(D279:D298,"장")</f>
        <v>0</v>
      </c>
      <c r="V293" s="65">
        <f>COUNTIF(I279:I298,"장")</f>
        <v>0</v>
      </c>
      <c r="W293" s="64" t="s">
        <v>26</v>
      </c>
      <c r="X293" s="64">
        <f>SUMIF(D279:D298,"장",F279:F298)</f>
        <v>0</v>
      </c>
      <c r="Y293" s="65">
        <f>SUMIF(I279:I298,"장",K279:K298)</f>
        <v>0</v>
      </c>
      <c r="Z293" s="64">
        <f>COUNTIF(AJ279:AJ298,"장국")+COUNTIF(AJ279:AJ298,"장장")</f>
        <v>0</v>
      </c>
      <c r="AA293" s="65">
        <f>COUNTIF(AK279:AK298,"장국")+COUNTIF(AK279:AK298,"장장")</f>
        <v>0</v>
      </c>
      <c r="AB293" s="64" t="s">
        <v>26</v>
      </c>
      <c r="AC293" s="64">
        <f>SUMIF(AJ279:AJ298,"장국",F279:F298)+SUMIF(AJ279:AJ298,"장장",F279:F298)</f>
        <v>0</v>
      </c>
      <c r="AD293" s="65">
        <f>SUMIF(AK279:AK298,"장국",K279:K298)+SUMIF(AK279:AK298,"장장",K279:K298)</f>
        <v>0</v>
      </c>
      <c r="AE293" s="64">
        <f t="shared" si="57"/>
        <v>0</v>
      </c>
      <c r="AF293" s="65">
        <f t="shared" si="57"/>
        <v>0</v>
      </c>
      <c r="AG293" s="64" t="s">
        <v>26</v>
      </c>
      <c r="AH293" s="64">
        <f t="shared" si="58"/>
        <v>0</v>
      </c>
      <c r="AI293" s="65">
        <f t="shared" si="58"/>
        <v>0</v>
      </c>
      <c r="AJ293" s="64" t="str">
        <f t="shared" si="59"/>
        <v/>
      </c>
      <c r="AK293" s="64" t="str">
        <f t="shared" si="55"/>
        <v/>
      </c>
      <c r="AL293" s="66"/>
    </row>
    <row r="294" spans="1:38" s="67" customFormat="1" ht="24" customHeight="1" x14ac:dyDescent="0.15">
      <c r="A294" s="330">
        <v>276</v>
      </c>
      <c r="B294" s="331"/>
      <c r="C294" s="331"/>
      <c r="D294" s="331"/>
      <c r="E294" s="122"/>
      <c r="F294" s="122"/>
      <c r="G294" s="122"/>
      <c r="H294" s="331"/>
      <c r="I294" s="331"/>
      <c r="J294" s="122"/>
      <c r="K294" s="122"/>
      <c r="L294" s="332"/>
      <c r="M294" s="205"/>
      <c r="N294" s="457"/>
      <c r="O294" s="341"/>
      <c r="P294" s="331"/>
      <c r="Q294" s="331"/>
      <c r="R294" s="331"/>
      <c r="S294" s="276"/>
      <c r="T294" s="70" t="s">
        <v>193</v>
      </c>
      <c r="U294" s="64">
        <f>COUNTIF(D279:D298,"학")</f>
        <v>0</v>
      </c>
      <c r="V294" s="65">
        <f>COUNTIF(I279:I298,"학")</f>
        <v>0</v>
      </c>
      <c r="W294" s="64" t="s">
        <v>26</v>
      </c>
      <c r="X294" s="64">
        <f>SUMIF(D279:D298,"학",F279:F298)</f>
        <v>0</v>
      </c>
      <c r="Y294" s="65">
        <f>SUMIF(I279:I298,"학",K279:K298)</f>
        <v>0</v>
      </c>
      <c r="Z294" s="64">
        <f>COUNTIF(AJ279:AJ298,"학국")+COUNTIF(AJ279:AJ298,"학공")</f>
        <v>0</v>
      </c>
      <c r="AA294" s="65">
        <f>COUNTIF(AK279:AK298,"학국")+COUNTIF(AK279:AK298,"학공")</f>
        <v>0</v>
      </c>
      <c r="AB294" s="64" t="s">
        <v>26</v>
      </c>
      <c r="AC294" s="64">
        <f>SUMIF(AJ279:AJ298,"학국",F279:F298)+SUMIF(AJ279:AJ298,"학공",F279:F298)</f>
        <v>0</v>
      </c>
      <c r="AD294" s="65">
        <f>SUMIF(AK279:AK298,"학국",K279:K298)+SUMIF(AK279:AK298,"학공",K279:K298)</f>
        <v>0</v>
      </c>
      <c r="AE294" s="64">
        <f t="shared" si="57"/>
        <v>0</v>
      </c>
      <c r="AF294" s="65">
        <f t="shared" si="57"/>
        <v>0</v>
      </c>
      <c r="AG294" s="64" t="s">
        <v>26</v>
      </c>
      <c r="AH294" s="64">
        <f t="shared" si="58"/>
        <v>0</v>
      </c>
      <c r="AI294" s="65">
        <f t="shared" si="58"/>
        <v>0</v>
      </c>
      <c r="AJ294" s="64" t="str">
        <f t="shared" si="59"/>
        <v/>
      </c>
      <c r="AK294" s="64" t="str">
        <f t="shared" si="55"/>
        <v/>
      </c>
      <c r="AL294" s="66"/>
    </row>
    <row r="295" spans="1:38" s="67" customFormat="1" ht="24" customHeight="1" x14ac:dyDescent="0.15">
      <c r="A295" s="330">
        <v>277</v>
      </c>
      <c r="B295" s="331"/>
      <c r="C295" s="331"/>
      <c r="D295" s="331"/>
      <c r="E295" s="122"/>
      <c r="F295" s="122"/>
      <c r="G295" s="122"/>
      <c r="H295" s="331"/>
      <c r="I295" s="331"/>
      <c r="J295" s="122"/>
      <c r="K295" s="122"/>
      <c r="L295" s="332"/>
      <c r="M295" s="205"/>
      <c r="N295" s="457"/>
      <c r="O295" s="341"/>
      <c r="P295" s="331"/>
      <c r="Q295" s="331"/>
      <c r="R295" s="331"/>
      <c r="S295" s="276"/>
      <c r="T295" s="70" t="s">
        <v>79</v>
      </c>
      <c r="U295" s="64">
        <f>COUNTIF(D279:D298,"목")</f>
        <v>0</v>
      </c>
      <c r="V295" s="65">
        <f>COUNTIF(I279:I298,"목")</f>
        <v>0</v>
      </c>
      <c r="W295" s="64" t="s">
        <v>26</v>
      </c>
      <c r="X295" s="64">
        <f>SUMIF(D279:D298,"목",F279:F298)</f>
        <v>0</v>
      </c>
      <c r="Y295" s="65">
        <f>SUMIF(I279:I298,"목",K279:K298)</f>
        <v>0</v>
      </c>
      <c r="Z295" s="64">
        <f>COUNTIF(AJ279:AJ298,"목국")+COUNTIF(AJ279:AJ298,"목공")</f>
        <v>0</v>
      </c>
      <c r="AA295" s="65">
        <f>COUNTIF(AK279:AK298,"목국")+COUNTIF(AK279:AK298,"목공")</f>
        <v>0</v>
      </c>
      <c r="AB295" s="64" t="s">
        <v>26</v>
      </c>
      <c r="AC295" s="64">
        <f>SUMIF(AJ279:AJ298,"목국",F279:F298)+SUMIF(AJ279:AJ298,"목공",F279:F298)</f>
        <v>0</v>
      </c>
      <c r="AD295" s="65">
        <f>SUMIF(AK279:AK298,"목국",K279:K298)+SUMIF(AK279:AK298,"목공",K279:K298)</f>
        <v>0</v>
      </c>
      <c r="AE295" s="64">
        <f t="shared" si="57"/>
        <v>0</v>
      </c>
      <c r="AF295" s="65">
        <f t="shared" si="57"/>
        <v>0</v>
      </c>
      <c r="AG295" s="64" t="s">
        <v>26</v>
      </c>
      <c r="AH295" s="64">
        <f t="shared" si="58"/>
        <v>0</v>
      </c>
      <c r="AI295" s="65">
        <f t="shared" si="58"/>
        <v>0</v>
      </c>
      <c r="AJ295" s="64" t="str">
        <f t="shared" si="59"/>
        <v/>
      </c>
      <c r="AK295" s="64" t="str">
        <f t="shared" si="55"/>
        <v/>
      </c>
      <c r="AL295" s="66"/>
    </row>
    <row r="296" spans="1:38" s="67" customFormat="1" ht="24" customHeight="1" x14ac:dyDescent="0.15">
      <c r="A296" s="330">
        <v>278</v>
      </c>
      <c r="B296" s="331"/>
      <c r="C296" s="331"/>
      <c r="D296" s="331"/>
      <c r="E296" s="122"/>
      <c r="F296" s="122"/>
      <c r="G296" s="122"/>
      <c r="H296" s="331"/>
      <c r="I296" s="331"/>
      <c r="J296" s="122"/>
      <c r="K296" s="122"/>
      <c r="L296" s="332"/>
      <c r="M296" s="205"/>
      <c r="N296" s="457"/>
      <c r="O296" s="341"/>
      <c r="P296" s="331"/>
      <c r="Q296" s="331"/>
      <c r="R296" s="331"/>
      <c r="S296" s="276"/>
      <c r="T296" s="70"/>
      <c r="U296" s="70"/>
      <c r="V296" s="71"/>
      <c r="W296" s="70"/>
      <c r="X296" s="70"/>
      <c r="Y296" s="71"/>
      <c r="Z296" s="64"/>
      <c r="AA296" s="65"/>
      <c r="AB296" s="70"/>
      <c r="AC296" s="64"/>
      <c r="AD296" s="65"/>
      <c r="AE296" s="70"/>
      <c r="AF296" s="71"/>
      <c r="AG296" s="70"/>
      <c r="AH296" s="70"/>
      <c r="AI296" s="71"/>
      <c r="AJ296" s="64" t="str">
        <f t="shared" si="59"/>
        <v/>
      </c>
      <c r="AK296" s="64" t="str">
        <f t="shared" si="55"/>
        <v/>
      </c>
      <c r="AL296" s="66"/>
    </row>
    <row r="297" spans="1:38" s="67" customFormat="1" ht="24" customHeight="1" x14ac:dyDescent="0.15">
      <c r="A297" s="330">
        <v>279</v>
      </c>
      <c r="B297" s="331"/>
      <c r="C297" s="331"/>
      <c r="D297" s="331"/>
      <c r="E297" s="122"/>
      <c r="F297" s="122"/>
      <c r="G297" s="122"/>
      <c r="H297" s="331"/>
      <c r="I297" s="331"/>
      <c r="J297" s="122"/>
      <c r="K297" s="122"/>
      <c r="L297" s="332"/>
      <c r="M297" s="205"/>
      <c r="N297" s="457"/>
      <c r="O297" s="341"/>
      <c r="P297" s="331"/>
      <c r="Q297" s="331"/>
      <c r="R297" s="331"/>
      <c r="S297" s="276"/>
      <c r="T297" s="70"/>
      <c r="U297" s="70"/>
      <c r="V297" s="71"/>
      <c r="W297" s="70"/>
      <c r="X297" s="70"/>
      <c r="Y297" s="71"/>
      <c r="Z297" s="64"/>
      <c r="AA297" s="65"/>
      <c r="AB297" s="70"/>
      <c r="AC297" s="64"/>
      <c r="AD297" s="65"/>
      <c r="AE297" s="70"/>
      <c r="AF297" s="71"/>
      <c r="AG297" s="70"/>
      <c r="AH297" s="70"/>
      <c r="AI297" s="71"/>
      <c r="AJ297" s="64" t="str">
        <f t="shared" si="59"/>
        <v/>
      </c>
      <c r="AK297" s="64" t="str">
        <f t="shared" si="55"/>
        <v/>
      </c>
      <c r="AL297" s="66"/>
    </row>
    <row r="298" spans="1:38" s="67" customFormat="1" ht="24" customHeight="1" x14ac:dyDescent="0.15">
      <c r="A298" s="379">
        <v>280</v>
      </c>
      <c r="B298" s="331"/>
      <c r="C298" s="380"/>
      <c r="D298" s="380"/>
      <c r="E298" s="381"/>
      <c r="F298" s="381"/>
      <c r="G298" s="381"/>
      <c r="H298" s="380"/>
      <c r="I298" s="380"/>
      <c r="J298" s="381"/>
      <c r="K298" s="381"/>
      <c r="L298" s="382"/>
      <c r="M298" s="383"/>
      <c r="N298" s="458"/>
      <c r="O298" s="459"/>
      <c r="P298" s="380"/>
      <c r="Q298" s="380"/>
      <c r="R298" s="380"/>
      <c r="S298" s="384"/>
      <c r="T298" s="72" t="s">
        <v>37</v>
      </c>
      <c r="U298" s="72">
        <f>COUNTIF(D279:D298,"철")</f>
        <v>0</v>
      </c>
      <c r="V298" s="73">
        <f>COUNTIF(I279:I298,"철")</f>
        <v>0</v>
      </c>
      <c r="W298" s="72" t="s">
        <v>26</v>
      </c>
      <c r="X298" s="72">
        <f>SUMIF(D279:D298,"철",F279:F298)</f>
        <v>0</v>
      </c>
      <c r="Y298" s="73">
        <f>SUMIF(I279:I298,"철",K279:K298)</f>
        <v>0</v>
      </c>
      <c r="Z298" s="64">
        <f>COUNTIF(AJ279:AJ298,"철국")+COUNTIF(AJ279:AJ298,"철공")</f>
        <v>0</v>
      </c>
      <c r="AA298" s="65">
        <f>COUNTIF(AK279:AK298,"철국")+COUNTIF(AK279:AK298,"철공")</f>
        <v>0</v>
      </c>
      <c r="AB298" s="72" t="s">
        <v>26</v>
      </c>
      <c r="AC298" s="64">
        <f>SUMIF(AJ279:AJ298,"철국",F279:F298)+SUMIF(AJ279:AJ298,"철공",F279:F298)</f>
        <v>0</v>
      </c>
      <c r="AD298" s="65">
        <f>SUMIF(AK279:AK298,"철국",K279:K298)+SUMIF(AK279:AK298,"철공",K279:K298)</f>
        <v>0</v>
      </c>
      <c r="AE298" s="72"/>
      <c r="AF298" s="73"/>
      <c r="AG298" s="72"/>
      <c r="AH298" s="72"/>
      <c r="AI298" s="73"/>
      <c r="AJ298" s="64" t="str">
        <f t="shared" si="59"/>
        <v/>
      </c>
      <c r="AK298" s="64" t="str">
        <f t="shared" si="55"/>
        <v/>
      </c>
      <c r="AL298" s="66"/>
    </row>
    <row r="299" spans="1:38" s="67" customFormat="1" ht="24" customHeight="1" thickBot="1" x14ac:dyDescent="0.2">
      <c r="A299" s="147" t="s">
        <v>48</v>
      </c>
      <c r="B299" s="148"/>
      <c r="C299" s="178"/>
      <c r="D299" s="178"/>
      <c r="E299" s="293"/>
      <c r="F299" s="325">
        <f>SUM(F279:F298)</f>
        <v>0</v>
      </c>
      <c r="G299" s="295"/>
      <c r="H299" s="295"/>
      <c r="I299" s="296"/>
      <c r="J299" s="297"/>
      <c r="K299" s="326">
        <f>SUM(K279:K298)</f>
        <v>0</v>
      </c>
      <c r="L299" s="150"/>
      <c r="M299" s="150"/>
      <c r="N299" s="432"/>
      <c r="O299" s="432"/>
      <c r="P299" s="150"/>
      <c r="Q299" s="150"/>
      <c r="R299" s="150"/>
      <c r="S299" s="151"/>
      <c r="T299" s="62" t="s">
        <v>24</v>
      </c>
      <c r="U299" s="63">
        <f t="shared" ref="U299:AA299" si="60">SUM(U279:U298)</f>
        <v>0</v>
      </c>
      <c r="V299" s="63">
        <f t="shared" si="60"/>
        <v>0</v>
      </c>
      <c r="W299" s="63">
        <f t="shared" si="60"/>
        <v>0</v>
      </c>
      <c r="X299" s="63">
        <f t="shared" si="60"/>
        <v>0</v>
      </c>
      <c r="Y299" s="63">
        <f t="shared" si="60"/>
        <v>0</v>
      </c>
      <c r="Z299" s="277">
        <f t="shared" si="60"/>
        <v>0</v>
      </c>
      <c r="AA299" s="278">
        <f t="shared" si="60"/>
        <v>0</v>
      </c>
      <c r="AB299" s="277" t="s">
        <v>26</v>
      </c>
      <c r="AC299" s="277">
        <f>SUM(AC279:AC298)</f>
        <v>0</v>
      </c>
      <c r="AD299" s="278">
        <f>SUM(AD279:AD298)</f>
        <v>0</v>
      </c>
      <c r="AE299" s="63">
        <f>SUM(AE279:AE298)</f>
        <v>0</v>
      </c>
      <c r="AF299" s="63">
        <f>SUM(AF279:AF298)</f>
        <v>0</v>
      </c>
      <c r="AG299" s="63" t="s">
        <v>26</v>
      </c>
      <c r="AH299" s="63">
        <f>SUM(AH279:AH298)</f>
        <v>0</v>
      </c>
      <c r="AI299" s="63">
        <f>SUM(AI279:AI298)</f>
        <v>0</v>
      </c>
      <c r="AJ299" s="63"/>
      <c r="AK299" s="64" t="str">
        <f t="shared" si="55"/>
        <v/>
      </c>
      <c r="AL299" s="66"/>
    </row>
    <row r="300" spans="1:38" s="67" customFormat="1" ht="24" customHeight="1" x14ac:dyDescent="0.15">
      <c r="A300" s="388">
        <v>281</v>
      </c>
      <c r="B300" s="215"/>
      <c r="C300" s="335"/>
      <c r="D300" s="389"/>
      <c r="E300" s="336"/>
      <c r="F300" s="336"/>
      <c r="G300" s="336"/>
      <c r="H300" s="389"/>
      <c r="I300" s="335"/>
      <c r="J300" s="336"/>
      <c r="K300" s="336"/>
      <c r="L300" s="390"/>
      <c r="M300" s="335"/>
      <c r="N300" s="460"/>
      <c r="O300" s="337"/>
      <c r="P300" s="335"/>
      <c r="Q300" s="335"/>
      <c r="R300" s="335"/>
      <c r="S300" s="391"/>
      <c r="T300" s="64" t="s">
        <v>27</v>
      </c>
      <c r="U300" s="64">
        <f>COUNTIF(D300:D319,"전")</f>
        <v>0</v>
      </c>
      <c r="V300" s="65">
        <f>COUNTIF(I300:I319,"전")</f>
        <v>0</v>
      </c>
      <c r="W300" s="64" t="s">
        <v>26</v>
      </c>
      <c r="X300" s="64">
        <f>SUMIF(D300:D319,"전",F300:F319)</f>
        <v>0</v>
      </c>
      <c r="Y300" s="65">
        <f>SUMIF(I300:I319,"전",K300:K319)</f>
        <v>0</v>
      </c>
      <c r="Z300" s="64">
        <f>COUNTIF(AJ300:AJ319,"전국")+COUNTIF(AJ300:AJ319,"전공")</f>
        <v>0</v>
      </c>
      <c r="AA300" s="65">
        <f>COUNTIF(AK300:AK319,"전국")+COUNTIF(AK300:AK319,"전공")</f>
        <v>0</v>
      </c>
      <c r="AB300" s="64" t="s">
        <v>26</v>
      </c>
      <c r="AC300" s="64">
        <f>SUMIF(AJ300:AJ319,"전국",F300:F319)+SUMIF(AJ300:AJ319,"전공",F300:F319)</f>
        <v>0</v>
      </c>
      <c r="AD300" s="65">
        <f>SUMIF(AK300:AK319,"전국",K300:K319)+SUMIF(AK300:AK319,"전공",K300:K319)</f>
        <v>0</v>
      </c>
      <c r="AE300" s="64">
        <f t="shared" ref="AE300:AE316" si="61">U300-Z300</f>
        <v>0</v>
      </c>
      <c r="AF300" s="65">
        <f t="shared" ref="AF300:AF316" si="62">V300-AA300</f>
        <v>0</v>
      </c>
      <c r="AG300" s="64" t="s">
        <v>26</v>
      </c>
      <c r="AH300" s="64">
        <f t="shared" ref="AH300:AH316" si="63">X300-AC300</f>
        <v>0</v>
      </c>
      <c r="AI300" s="65">
        <f t="shared" ref="AI300:AI316" si="64">Y300-AD300</f>
        <v>0</v>
      </c>
      <c r="AJ300" s="64" t="str">
        <f t="shared" ref="AJ300:AJ319" si="65">CONCATENATE(D300,L300)</f>
        <v/>
      </c>
      <c r="AK300" s="64" t="str">
        <f t="shared" si="55"/>
        <v/>
      </c>
      <c r="AL300" s="66"/>
    </row>
    <row r="301" spans="1:38" s="67" customFormat="1" ht="24" customHeight="1" x14ac:dyDescent="0.15">
      <c r="A301" s="330">
        <v>282</v>
      </c>
      <c r="B301" s="121"/>
      <c r="C301" s="205"/>
      <c r="D301" s="331"/>
      <c r="E301" s="122"/>
      <c r="F301" s="122"/>
      <c r="G301" s="122"/>
      <c r="H301" s="331"/>
      <c r="I301" s="205"/>
      <c r="J301" s="122"/>
      <c r="K301" s="122"/>
      <c r="L301" s="333"/>
      <c r="M301" s="205"/>
      <c r="N301" s="436"/>
      <c r="O301" s="341"/>
      <c r="P301" s="205"/>
      <c r="Q301" s="205"/>
      <c r="R301" s="205"/>
      <c r="S301" s="276"/>
      <c r="T301" s="64" t="s">
        <v>28</v>
      </c>
      <c r="U301" s="64">
        <f>COUNTIF(D300:D319,"답")</f>
        <v>0</v>
      </c>
      <c r="V301" s="65">
        <f>COUNTIF(I300:I319,"답")</f>
        <v>0</v>
      </c>
      <c r="W301" s="64" t="s">
        <v>26</v>
      </c>
      <c r="X301" s="64">
        <f>SUMIF(D300:D319,"답",F300:F319)</f>
        <v>0</v>
      </c>
      <c r="Y301" s="65">
        <f>SUMIF(I300:I319,"답",K300:K319)</f>
        <v>0</v>
      </c>
      <c r="Z301" s="64">
        <f>COUNTIF(AJ300:AJ319,"답국")+COUNTIF(AJ300:AJ319,"답공")</f>
        <v>0</v>
      </c>
      <c r="AA301" s="65">
        <f>COUNTIF(AK300:AK319,"답국")+COUNTIF(AK300:AK319,"답공")</f>
        <v>0</v>
      </c>
      <c r="AB301" s="64" t="s">
        <v>26</v>
      </c>
      <c r="AC301" s="64">
        <f>SUMIF(AJ300:AJ319,"답국",F300:F319)+SUMIF(AJ300:AJ319,"답공",F300:F319)</f>
        <v>0</v>
      </c>
      <c r="AD301" s="65">
        <f>SUMIF(AK300:AK319,"답국",K300:K319)+SUMIF(AK300:AK319,"답공",K300:K319)</f>
        <v>0</v>
      </c>
      <c r="AE301" s="64">
        <f t="shared" si="61"/>
        <v>0</v>
      </c>
      <c r="AF301" s="65">
        <f t="shared" si="62"/>
        <v>0</v>
      </c>
      <c r="AG301" s="64" t="s">
        <v>26</v>
      </c>
      <c r="AH301" s="64">
        <f t="shared" si="63"/>
        <v>0</v>
      </c>
      <c r="AI301" s="65">
        <f t="shared" si="64"/>
        <v>0</v>
      </c>
      <c r="AJ301" s="64" t="str">
        <f t="shared" si="65"/>
        <v/>
      </c>
      <c r="AK301" s="64" t="str">
        <f t="shared" si="55"/>
        <v/>
      </c>
      <c r="AL301" s="66"/>
    </row>
    <row r="302" spans="1:38" s="67" customFormat="1" ht="24" customHeight="1" x14ac:dyDescent="0.15">
      <c r="A302" s="330">
        <v>283</v>
      </c>
      <c r="B302" s="121"/>
      <c r="C302" s="205"/>
      <c r="D302" s="331"/>
      <c r="E302" s="122"/>
      <c r="F302" s="122"/>
      <c r="G302" s="122"/>
      <c r="H302" s="331"/>
      <c r="I302" s="205"/>
      <c r="J302" s="122"/>
      <c r="K302" s="122"/>
      <c r="L302" s="333"/>
      <c r="M302" s="205"/>
      <c r="N302" s="436"/>
      <c r="O302" s="341"/>
      <c r="P302" s="205"/>
      <c r="Q302" s="205"/>
      <c r="R302" s="205"/>
      <c r="S302" s="276"/>
      <c r="T302" s="64" t="s">
        <v>44</v>
      </c>
      <c r="U302" s="64">
        <f>COUNTIF(D300:D319,"임")</f>
        <v>0</v>
      </c>
      <c r="V302" s="65">
        <f>COUNTIF(I300:I319,"임")</f>
        <v>0</v>
      </c>
      <c r="W302" s="64" t="s">
        <v>26</v>
      </c>
      <c r="X302" s="64">
        <f>SUMIF(D300:D319,"임",F300:F319)</f>
        <v>0</v>
      </c>
      <c r="Y302" s="65">
        <f>SUMIF(I300:I319,"임",K300:K319)</f>
        <v>0</v>
      </c>
      <c r="Z302" s="64">
        <f>COUNTIF(AJ300:AJ319,"임국")+COUNTIF(AJ300:AJ319,"임공")</f>
        <v>0</v>
      </c>
      <c r="AA302" s="65">
        <f>COUNTIF(AK300:AK319,"임국")+COUNTIF(AK300:AK319,"임공")</f>
        <v>0</v>
      </c>
      <c r="AB302" s="64" t="s">
        <v>26</v>
      </c>
      <c r="AC302" s="64">
        <f>SUMIF(AJ300:AJ319,"임국",F300:F319)+SUMIF(AJ300:AJ319,"임공",F300:F319)</f>
        <v>0</v>
      </c>
      <c r="AD302" s="65">
        <f>SUMIF(AK300:AK319,"임국",K300:K319)+SUMIF(AK300:AK319,"임공",K300:K319)</f>
        <v>0</v>
      </c>
      <c r="AE302" s="64">
        <f t="shared" si="61"/>
        <v>0</v>
      </c>
      <c r="AF302" s="65">
        <f t="shared" si="62"/>
        <v>0</v>
      </c>
      <c r="AG302" s="64" t="s">
        <v>26</v>
      </c>
      <c r="AH302" s="64">
        <f t="shared" si="63"/>
        <v>0</v>
      </c>
      <c r="AI302" s="65">
        <f t="shared" si="64"/>
        <v>0</v>
      </c>
      <c r="AJ302" s="64" t="str">
        <f t="shared" si="65"/>
        <v/>
      </c>
      <c r="AK302" s="64" t="str">
        <f t="shared" si="55"/>
        <v/>
      </c>
      <c r="AL302" s="66"/>
    </row>
    <row r="303" spans="1:38" s="67" customFormat="1" ht="24" customHeight="1" x14ac:dyDescent="0.15">
      <c r="A303" s="330">
        <v>284</v>
      </c>
      <c r="B303" s="121"/>
      <c r="C303" s="205"/>
      <c r="D303" s="331"/>
      <c r="E303" s="122"/>
      <c r="F303" s="122"/>
      <c r="G303" s="122"/>
      <c r="H303" s="331"/>
      <c r="I303" s="205"/>
      <c r="J303" s="122"/>
      <c r="K303" s="122"/>
      <c r="L303" s="333"/>
      <c r="M303" s="205"/>
      <c r="N303" s="436"/>
      <c r="O303" s="341"/>
      <c r="P303" s="205"/>
      <c r="Q303" s="205"/>
      <c r="R303" s="205"/>
      <c r="S303" s="276"/>
      <c r="T303" s="64" t="s">
        <v>45</v>
      </c>
      <c r="U303" s="64">
        <f>COUNTIF(D300:D319,"대")</f>
        <v>0</v>
      </c>
      <c r="V303" s="65">
        <f>COUNTIF(I300:I319,"대")</f>
        <v>0</v>
      </c>
      <c r="W303" s="64" t="s">
        <v>26</v>
      </c>
      <c r="X303" s="64">
        <f>SUMIF(D300:D319,"대",F300:F319)</f>
        <v>0</v>
      </c>
      <c r="Y303" s="65">
        <f>SUMIF(I300:I319,"대",K300:K319)</f>
        <v>0</v>
      </c>
      <c r="Z303" s="64">
        <f>COUNTIF(AJ300:AJ319,"대국")+COUNTIF(AJ300:AJ319,"대공")</f>
        <v>0</v>
      </c>
      <c r="AA303" s="65">
        <f>COUNTIF(AK300:AK319,"대국")+COUNTIF(AK300:AK319,"대공")</f>
        <v>0</v>
      </c>
      <c r="AB303" s="64" t="s">
        <v>26</v>
      </c>
      <c r="AC303" s="64">
        <f>SUMIF(AJ300:AJ319,"대국",F300:F319)+SUMIF(AJ300:AJ319,"대공",F300:F319)</f>
        <v>0</v>
      </c>
      <c r="AD303" s="65">
        <f>SUMIF(AK300:AK319,"대국",K300:K319)+SUMIF(AK300:AK319,"대공",K300:K319)</f>
        <v>0</v>
      </c>
      <c r="AE303" s="64">
        <f t="shared" si="61"/>
        <v>0</v>
      </c>
      <c r="AF303" s="65">
        <f t="shared" si="62"/>
        <v>0</v>
      </c>
      <c r="AG303" s="64" t="s">
        <v>26</v>
      </c>
      <c r="AH303" s="64">
        <f t="shared" si="63"/>
        <v>0</v>
      </c>
      <c r="AI303" s="65">
        <f t="shared" si="64"/>
        <v>0</v>
      </c>
      <c r="AJ303" s="64" t="str">
        <f t="shared" si="65"/>
        <v/>
      </c>
      <c r="AK303" s="64" t="str">
        <f t="shared" si="55"/>
        <v/>
      </c>
      <c r="AL303" s="66"/>
    </row>
    <row r="304" spans="1:38" s="67" customFormat="1" ht="24" customHeight="1" x14ac:dyDescent="0.15">
      <c r="A304" s="330">
        <v>285</v>
      </c>
      <c r="B304" s="121"/>
      <c r="C304" s="205"/>
      <c r="D304" s="331"/>
      <c r="E304" s="122"/>
      <c r="F304" s="122"/>
      <c r="G304" s="122"/>
      <c r="H304" s="331"/>
      <c r="I304" s="205"/>
      <c r="J304" s="122"/>
      <c r="K304" s="122"/>
      <c r="L304" s="333"/>
      <c r="M304" s="205"/>
      <c r="N304" s="436"/>
      <c r="O304" s="341"/>
      <c r="P304" s="205"/>
      <c r="Q304" s="205"/>
      <c r="R304" s="205"/>
      <c r="S304" s="276"/>
      <c r="T304" s="64" t="s">
        <v>31</v>
      </c>
      <c r="U304" s="64">
        <f>COUNTIF(D300:D319,"도")</f>
        <v>0</v>
      </c>
      <c r="V304" s="65">
        <f>COUNTIF(I300:I319,"도")</f>
        <v>0</v>
      </c>
      <c r="W304" s="64" t="s">
        <v>26</v>
      </c>
      <c r="X304" s="64">
        <f>SUMIF(D300:D319,"도",F300:F319)</f>
        <v>0</v>
      </c>
      <c r="Y304" s="65">
        <f>SUMIF(I300:I319,"도",K300:K319)</f>
        <v>0</v>
      </c>
      <c r="Z304" s="64">
        <f>COUNTIF(AJ300:AJ319,"도국")+COUNTIF(AJ300:AJ319,"도공")</f>
        <v>0</v>
      </c>
      <c r="AA304" s="65">
        <f>COUNTIF(AK300:AK319,"도국")+COUNTIF(AK300:AK319,"도공")</f>
        <v>0</v>
      </c>
      <c r="AB304" s="64" t="s">
        <v>26</v>
      </c>
      <c r="AC304" s="64">
        <f>SUMIF(AJ300:AJ319,"도국",F300:F319)+SUMIF(AJ300:AJ319,"도공",F300:F319)</f>
        <v>0</v>
      </c>
      <c r="AD304" s="65">
        <f>SUMIF(AK300:AK319,"도국",K300:K319)+SUMIF(AK300:AK319,"도공",K300:K319)</f>
        <v>0</v>
      </c>
      <c r="AE304" s="64">
        <f t="shared" si="61"/>
        <v>0</v>
      </c>
      <c r="AF304" s="65">
        <f t="shared" si="62"/>
        <v>0</v>
      </c>
      <c r="AG304" s="64" t="s">
        <v>26</v>
      </c>
      <c r="AH304" s="64">
        <f t="shared" si="63"/>
        <v>0</v>
      </c>
      <c r="AI304" s="65">
        <f t="shared" si="64"/>
        <v>0</v>
      </c>
      <c r="AJ304" s="64" t="str">
        <f t="shared" si="65"/>
        <v/>
      </c>
      <c r="AK304" s="64" t="str">
        <f t="shared" si="55"/>
        <v/>
      </c>
      <c r="AL304" s="66"/>
    </row>
    <row r="305" spans="1:38" s="67" customFormat="1" ht="24" customHeight="1" x14ac:dyDescent="0.15">
      <c r="A305" s="330">
        <v>286</v>
      </c>
      <c r="B305" s="121"/>
      <c r="C305" s="205"/>
      <c r="D305" s="331"/>
      <c r="E305" s="122"/>
      <c r="F305" s="122"/>
      <c r="G305" s="122"/>
      <c r="H305" s="331"/>
      <c r="I305" s="205"/>
      <c r="J305" s="122"/>
      <c r="K305" s="122"/>
      <c r="L305" s="333"/>
      <c r="M305" s="205"/>
      <c r="N305" s="436"/>
      <c r="O305" s="341"/>
      <c r="P305" s="205"/>
      <c r="Q305" s="205"/>
      <c r="R305" s="205"/>
      <c r="S305" s="276"/>
      <c r="T305" s="64" t="s">
        <v>32</v>
      </c>
      <c r="U305" s="68">
        <f>COUNTIF(D300:D319,"천")</f>
        <v>0</v>
      </c>
      <c r="V305" s="69">
        <f>COUNTIF(I300:I319,"천")</f>
        <v>0</v>
      </c>
      <c r="W305" s="64" t="s">
        <v>26</v>
      </c>
      <c r="X305" s="64">
        <f>SUMIF(D300:D319,"천",F300:F319)</f>
        <v>0</v>
      </c>
      <c r="Y305" s="65">
        <f>SUMIF(I300:I319,"천",K300:K319)</f>
        <v>0</v>
      </c>
      <c r="Z305" s="64">
        <f>COUNTIF(AJ300:AJ319,"천국")+COUNTIF(AJ300:AJ319,"천공")</f>
        <v>0</v>
      </c>
      <c r="AA305" s="65">
        <f>COUNTIF(AK300:AK319,"천국")+COUNTIF(AK300:AK319,"천공")</f>
        <v>0</v>
      </c>
      <c r="AB305" s="64" t="s">
        <v>26</v>
      </c>
      <c r="AC305" s="64">
        <f>SUMIF(AJ300:AJ319,"천국",F300:F319)+SUMIF(AJ300:AJ319,"천공",F300:F319)</f>
        <v>0</v>
      </c>
      <c r="AD305" s="65">
        <f>SUMIF(AK300:AK319,"천국",K300:K319)+SUMIF(AK300:AK319,"천공",K300:K319)</f>
        <v>0</v>
      </c>
      <c r="AE305" s="64">
        <f t="shared" si="61"/>
        <v>0</v>
      </c>
      <c r="AF305" s="65">
        <f t="shared" si="62"/>
        <v>0</v>
      </c>
      <c r="AG305" s="64" t="s">
        <v>26</v>
      </c>
      <c r="AH305" s="64">
        <f t="shared" si="63"/>
        <v>0</v>
      </c>
      <c r="AI305" s="65">
        <f t="shared" si="64"/>
        <v>0</v>
      </c>
      <c r="AJ305" s="64" t="str">
        <f t="shared" si="65"/>
        <v/>
      </c>
      <c r="AK305" s="64" t="str">
        <f t="shared" si="55"/>
        <v/>
      </c>
      <c r="AL305" s="66"/>
    </row>
    <row r="306" spans="1:38" s="67" customFormat="1" ht="24" customHeight="1" x14ac:dyDescent="0.15">
      <c r="A306" s="330">
        <v>287</v>
      </c>
      <c r="B306" s="121"/>
      <c r="C306" s="205"/>
      <c r="D306" s="331"/>
      <c r="E306" s="122"/>
      <c r="F306" s="122"/>
      <c r="G306" s="122"/>
      <c r="H306" s="331"/>
      <c r="I306" s="205"/>
      <c r="J306" s="122"/>
      <c r="K306" s="122"/>
      <c r="L306" s="333"/>
      <c r="M306" s="205"/>
      <c r="N306" s="436"/>
      <c r="O306" s="341"/>
      <c r="P306" s="205"/>
      <c r="Q306" s="205"/>
      <c r="R306" s="205"/>
      <c r="S306" s="276"/>
      <c r="T306" s="64" t="s">
        <v>33</v>
      </c>
      <c r="U306" s="64">
        <f>COUNTIF(D300:D319,"구")</f>
        <v>0</v>
      </c>
      <c r="V306" s="65">
        <f>COUNTIF(I300:I319,"구")</f>
        <v>0</v>
      </c>
      <c r="W306" s="64" t="s">
        <v>26</v>
      </c>
      <c r="X306" s="64">
        <f>SUMIF(D300:D319,"구",F300:F319)</f>
        <v>0</v>
      </c>
      <c r="Y306" s="65">
        <f>SUMIF(I300:I319,"구",K300:K319)</f>
        <v>0</v>
      </c>
      <c r="Z306" s="64">
        <f>COUNTIF(AJ300:AJ319,"구국")+COUNTIF(AJ300:AJ319,"구공")</f>
        <v>0</v>
      </c>
      <c r="AA306" s="65">
        <f>COUNTIF(AK300:AK319,"구국")+COUNTIF(AK300:AK319,"구공")</f>
        <v>0</v>
      </c>
      <c r="AB306" s="64" t="s">
        <v>26</v>
      </c>
      <c r="AC306" s="64">
        <f>SUMIF(AJ300:AJ319,"구국",F300:F319)+SUMIF(AJ300:AJ319,"구공",F300:F319)</f>
        <v>0</v>
      </c>
      <c r="AD306" s="65">
        <f>SUMIF(AK300:AK319,"구국",K300:K319)+SUMIF(AK300:AK319,"구공",K300:K319)</f>
        <v>0</v>
      </c>
      <c r="AE306" s="64">
        <f t="shared" si="61"/>
        <v>0</v>
      </c>
      <c r="AF306" s="65">
        <f t="shared" si="62"/>
        <v>0</v>
      </c>
      <c r="AG306" s="64" t="s">
        <v>26</v>
      </c>
      <c r="AH306" s="64">
        <f t="shared" si="63"/>
        <v>0</v>
      </c>
      <c r="AI306" s="65">
        <f t="shared" si="64"/>
        <v>0</v>
      </c>
      <c r="AJ306" s="64" t="str">
        <f t="shared" si="65"/>
        <v/>
      </c>
      <c r="AK306" s="64" t="str">
        <f t="shared" si="55"/>
        <v/>
      </c>
      <c r="AL306" s="66"/>
    </row>
    <row r="307" spans="1:38" s="67" customFormat="1" ht="24" customHeight="1" x14ac:dyDescent="0.15">
      <c r="A307" s="330">
        <v>288</v>
      </c>
      <c r="B307" s="121"/>
      <c r="C307" s="331"/>
      <c r="D307" s="331"/>
      <c r="E307" s="122"/>
      <c r="F307" s="122"/>
      <c r="G307" s="122"/>
      <c r="H307" s="331"/>
      <c r="I307" s="331"/>
      <c r="J307" s="122"/>
      <c r="K307" s="122"/>
      <c r="L307" s="332"/>
      <c r="M307" s="205"/>
      <c r="N307" s="457"/>
      <c r="O307" s="341"/>
      <c r="P307" s="205"/>
      <c r="Q307" s="205"/>
      <c r="R307" s="205"/>
      <c r="S307" s="276"/>
      <c r="T307" s="64" t="s">
        <v>34</v>
      </c>
      <c r="U307" s="64">
        <f>COUNTIF(D300:D319,"제")</f>
        <v>0</v>
      </c>
      <c r="V307" s="65">
        <f>COUNTIF(I300:I319,"제")</f>
        <v>0</v>
      </c>
      <c r="W307" s="64" t="s">
        <v>26</v>
      </c>
      <c r="X307" s="64">
        <f>SUMIF(D300:D319,"제",F300:F319)</f>
        <v>0</v>
      </c>
      <c r="Y307" s="65">
        <f>SUMIF(I300:I319,"제",K300:K319)</f>
        <v>0</v>
      </c>
      <c r="Z307" s="64">
        <f>COUNTIF(AJ300:AJ319,"제국")+COUNTIF(AJ300:AJ319,"제공")</f>
        <v>0</v>
      </c>
      <c r="AA307" s="65">
        <f>COUNTIF(AK300:AK319,"제국")+COUNTIF(AK300:AK319,"제공")</f>
        <v>0</v>
      </c>
      <c r="AB307" s="64" t="s">
        <v>26</v>
      </c>
      <c r="AC307" s="64">
        <f>SUMIF(AJ300:AJ319,"제국",F300:F319)+SUMIF(AJ300:AJ319,"제공",F300:F319)</f>
        <v>0</v>
      </c>
      <c r="AD307" s="65">
        <f>SUMIF(AK300:AK319,"제국",K300:K319)+SUMIF(AK300:AK319,"제공",K300:K319)</f>
        <v>0</v>
      </c>
      <c r="AE307" s="64">
        <f t="shared" si="61"/>
        <v>0</v>
      </c>
      <c r="AF307" s="65">
        <f t="shared" si="62"/>
        <v>0</v>
      </c>
      <c r="AG307" s="64" t="s">
        <v>26</v>
      </c>
      <c r="AH307" s="64">
        <f t="shared" si="63"/>
        <v>0</v>
      </c>
      <c r="AI307" s="65">
        <f t="shared" si="64"/>
        <v>0</v>
      </c>
      <c r="AJ307" s="64" t="str">
        <f t="shared" si="65"/>
        <v/>
      </c>
      <c r="AK307" s="64" t="str">
        <f t="shared" si="55"/>
        <v/>
      </c>
      <c r="AL307" s="66"/>
    </row>
    <row r="308" spans="1:38" s="67" customFormat="1" ht="24" customHeight="1" x14ac:dyDescent="0.15">
      <c r="A308" s="330">
        <v>289</v>
      </c>
      <c r="B308" s="121"/>
      <c r="C308" s="331"/>
      <c r="D308" s="331"/>
      <c r="E308" s="122"/>
      <c r="F308" s="122"/>
      <c r="G308" s="122"/>
      <c r="H308" s="331"/>
      <c r="I308" s="331"/>
      <c r="J308" s="122"/>
      <c r="K308" s="122"/>
      <c r="L308" s="332"/>
      <c r="M308" s="205"/>
      <c r="N308" s="457"/>
      <c r="O308" s="341"/>
      <c r="P308" s="331"/>
      <c r="Q308" s="331"/>
      <c r="R308" s="331"/>
      <c r="S308" s="276"/>
      <c r="T308" s="64" t="s">
        <v>46</v>
      </c>
      <c r="U308" s="64">
        <f>COUNTIF(D300:D319,"유")</f>
        <v>0</v>
      </c>
      <c r="V308" s="65">
        <f>COUNTIF(I300:I319,"유")</f>
        <v>0</v>
      </c>
      <c r="W308" s="64" t="s">
        <v>26</v>
      </c>
      <c r="X308" s="64">
        <f>SUMIF(D300:D319,"유",F300:F319)</f>
        <v>0</v>
      </c>
      <c r="Y308" s="65">
        <f>SUMIF(I300:I319,"유",K300:K319)</f>
        <v>0</v>
      </c>
      <c r="Z308" s="64">
        <f>COUNTIF(AJ300:AJ319,"유국")+COUNTIF(AJ300:AJ319,"유공")</f>
        <v>0</v>
      </c>
      <c r="AA308" s="65">
        <f>COUNTIF(AK300:AK319,"유국")+COUNTIF(AK300:AK319,"유공")</f>
        <v>0</v>
      </c>
      <c r="AB308" s="64" t="s">
        <v>26</v>
      </c>
      <c r="AC308" s="64">
        <f>SUMIF(AJ300:AJ319,"유국",F300:F319)+SUMIF(AJ300:AJ319,"유공",F300:F319)</f>
        <v>0</v>
      </c>
      <c r="AD308" s="65">
        <f>SUMIF(AK300:AK319,"유국",K300:K319)+SUMIF(AK300:AK319,"유공",K300:K319)</f>
        <v>0</v>
      </c>
      <c r="AE308" s="64">
        <f t="shared" si="61"/>
        <v>0</v>
      </c>
      <c r="AF308" s="65">
        <f t="shared" si="62"/>
        <v>0</v>
      </c>
      <c r="AG308" s="64" t="s">
        <v>26</v>
      </c>
      <c r="AH308" s="64">
        <f t="shared" si="63"/>
        <v>0</v>
      </c>
      <c r="AI308" s="65">
        <f t="shared" si="64"/>
        <v>0</v>
      </c>
      <c r="AJ308" s="64" t="str">
        <f t="shared" si="65"/>
        <v/>
      </c>
      <c r="AK308" s="64" t="str">
        <f t="shared" si="55"/>
        <v/>
      </c>
      <c r="AL308" s="66"/>
    </row>
    <row r="309" spans="1:38" s="67" customFormat="1" ht="24" customHeight="1" x14ac:dyDescent="0.15">
      <c r="A309" s="330">
        <v>290</v>
      </c>
      <c r="B309" s="121"/>
      <c r="C309" s="331"/>
      <c r="D309" s="331"/>
      <c r="E309" s="122"/>
      <c r="F309" s="122"/>
      <c r="G309" s="122"/>
      <c r="H309" s="331"/>
      <c r="I309" s="331"/>
      <c r="J309" s="122"/>
      <c r="K309" s="122"/>
      <c r="L309" s="332"/>
      <c r="M309" s="205"/>
      <c r="N309" s="457"/>
      <c r="O309" s="341"/>
      <c r="P309" s="331"/>
      <c r="Q309" s="331"/>
      <c r="R309" s="331"/>
      <c r="S309" s="276"/>
      <c r="T309" s="64" t="s">
        <v>47</v>
      </c>
      <c r="U309" s="64">
        <f>COUNTIF(D300:D319,"과")</f>
        <v>0</v>
      </c>
      <c r="V309" s="65">
        <f>COUNTIF(I300:I319,"과")</f>
        <v>0</v>
      </c>
      <c r="W309" s="64" t="s">
        <v>26</v>
      </c>
      <c r="X309" s="64">
        <f>SUMIF(D300:D319,"과",F300:F319)</f>
        <v>0</v>
      </c>
      <c r="Y309" s="65">
        <f>SUMIF(I300:I319,"과",K300:K319)</f>
        <v>0</v>
      </c>
      <c r="Z309" s="64">
        <f>COUNTIF(AJ300:AJ319,"과국")+COUNTIF(AJ300:AJ319,"과공")</f>
        <v>0</v>
      </c>
      <c r="AA309" s="65">
        <f>COUNTIF(AK300:AK319,"과국")+COUNTIF(AK300:AK319,"과공")</f>
        <v>0</v>
      </c>
      <c r="AB309" s="64" t="s">
        <v>26</v>
      </c>
      <c r="AC309" s="64">
        <f>SUMIF(AJ300:AJ319,"과국",F300:F319)+SUMIF(AJ300:AJ319,"과공",F300:F319)</f>
        <v>0</v>
      </c>
      <c r="AD309" s="65">
        <f>SUMIF(AK300:AK319,"과국",K300:K319)+SUMIF(AK300:AK319,"과공",K300:K319)</f>
        <v>0</v>
      </c>
      <c r="AE309" s="64">
        <f t="shared" si="61"/>
        <v>0</v>
      </c>
      <c r="AF309" s="65">
        <f t="shared" si="62"/>
        <v>0</v>
      </c>
      <c r="AG309" s="64" t="s">
        <v>26</v>
      </c>
      <c r="AH309" s="64">
        <f t="shared" si="63"/>
        <v>0</v>
      </c>
      <c r="AI309" s="65">
        <f t="shared" si="64"/>
        <v>0</v>
      </c>
      <c r="AJ309" s="64" t="str">
        <f t="shared" si="65"/>
        <v/>
      </c>
      <c r="AK309" s="64" t="str">
        <f t="shared" si="55"/>
        <v/>
      </c>
      <c r="AL309" s="66"/>
    </row>
    <row r="310" spans="1:38" s="67" customFormat="1" ht="24" customHeight="1" x14ac:dyDescent="0.15">
      <c r="A310" s="330">
        <v>291</v>
      </c>
      <c r="B310" s="121"/>
      <c r="C310" s="331"/>
      <c r="D310" s="331"/>
      <c r="E310" s="122"/>
      <c r="F310" s="122"/>
      <c r="G310" s="122"/>
      <c r="H310" s="331"/>
      <c r="I310" s="331"/>
      <c r="J310" s="122"/>
      <c r="K310" s="122"/>
      <c r="L310" s="332"/>
      <c r="M310" s="205"/>
      <c r="N310" s="457"/>
      <c r="O310" s="341"/>
      <c r="P310" s="331"/>
      <c r="Q310" s="331"/>
      <c r="R310" s="331"/>
      <c r="S310" s="276"/>
      <c r="T310" s="64" t="s">
        <v>36</v>
      </c>
      <c r="U310" s="64">
        <f>COUNTIF(D300:D319,"묘")</f>
        <v>0</v>
      </c>
      <c r="V310" s="65">
        <f>COUNTIF(I300:I319,"묘")</f>
        <v>0</v>
      </c>
      <c r="W310" s="64" t="s">
        <v>26</v>
      </c>
      <c r="X310" s="64">
        <f>SUMIF(D300:D319,"묘",F300:F319)</f>
        <v>0</v>
      </c>
      <c r="Y310" s="65">
        <f>SUMIF(I300:I319,"묘",K300:K319)</f>
        <v>0</v>
      </c>
      <c r="Z310" s="64">
        <f>COUNTIF(AJ300:AJ319,"묘국")+COUNTIF(AJ300:AJ319,"묘공")</f>
        <v>0</v>
      </c>
      <c r="AA310" s="65">
        <f>COUNTIF(AK300:AK319,"묘국")+COUNTIF(AK300:AK319,"묘공")</f>
        <v>0</v>
      </c>
      <c r="AB310" s="64" t="s">
        <v>26</v>
      </c>
      <c r="AC310" s="64">
        <f>SUMIF(AJ300:AJ319,"묘국",F300:F319)+SUMIF(AJ300:AJ319,"묘공",F300:F319)</f>
        <v>0</v>
      </c>
      <c r="AD310" s="65">
        <f>SUMIF(AK300:AK319,"묘국",K300:K319)+SUMIF(AK300:AK319,"묘공",K300:K319)</f>
        <v>0</v>
      </c>
      <c r="AE310" s="64">
        <f t="shared" si="61"/>
        <v>0</v>
      </c>
      <c r="AF310" s="65">
        <f t="shared" si="62"/>
        <v>0</v>
      </c>
      <c r="AG310" s="64" t="s">
        <v>26</v>
      </c>
      <c r="AH310" s="64">
        <f t="shared" si="63"/>
        <v>0</v>
      </c>
      <c r="AI310" s="65">
        <f t="shared" si="64"/>
        <v>0</v>
      </c>
      <c r="AJ310" s="64" t="str">
        <f t="shared" si="65"/>
        <v/>
      </c>
      <c r="AK310" s="64" t="str">
        <f t="shared" si="55"/>
        <v/>
      </c>
      <c r="AL310" s="66"/>
    </row>
    <row r="311" spans="1:38" s="67" customFormat="1" ht="24" customHeight="1" x14ac:dyDescent="0.15">
      <c r="A311" s="330">
        <v>292</v>
      </c>
      <c r="B311" s="121"/>
      <c r="C311" s="331"/>
      <c r="D311" s="331"/>
      <c r="E311" s="122"/>
      <c r="F311" s="122"/>
      <c r="G311" s="122"/>
      <c r="H311" s="331"/>
      <c r="I311" s="331"/>
      <c r="J311" s="122"/>
      <c r="K311" s="122"/>
      <c r="L311" s="332"/>
      <c r="M311" s="471"/>
      <c r="N311" s="457"/>
      <c r="O311" s="341"/>
      <c r="P311" s="331"/>
      <c r="Q311" s="331"/>
      <c r="R311" s="331"/>
      <c r="S311" s="276"/>
      <c r="T311" s="64" t="s">
        <v>39</v>
      </c>
      <c r="U311" s="64">
        <f>COUNTIF(D300:D319,"수")</f>
        <v>0</v>
      </c>
      <c r="V311" s="65">
        <f>COUNTIF(I300:I319,"수")</f>
        <v>0</v>
      </c>
      <c r="W311" s="64" t="s">
        <v>26</v>
      </c>
      <c r="X311" s="64">
        <f>SUMIF(D300:D319,"수",F300:F319)</f>
        <v>0</v>
      </c>
      <c r="Y311" s="65">
        <f>SUMIF(I300:I319,"수",K300:K319)</f>
        <v>0</v>
      </c>
      <c r="Z311" s="64">
        <f>COUNTIF(AJ300:AJ319,"수국")+COUNTIF(AJ300:AJ319,"수공")</f>
        <v>0</v>
      </c>
      <c r="AA311" s="65">
        <f>COUNTIF(AK300:AK319,"수국")+COUNTIF(AK300:AK319,"수공")</f>
        <v>0</v>
      </c>
      <c r="AB311" s="64" t="s">
        <v>26</v>
      </c>
      <c r="AC311" s="64">
        <f>SUMIF(AJ300:AJ319,"수국",F300:F319)+SUMIF(AJ300:AJ319,"수공",F300:F319)</f>
        <v>0</v>
      </c>
      <c r="AD311" s="65">
        <f>SUMIF(AK300:AK319,"수국",K300:K319)+SUMIF(AK300:AK319,"수공",K300:K319)</f>
        <v>0</v>
      </c>
      <c r="AE311" s="64">
        <f t="shared" si="61"/>
        <v>0</v>
      </c>
      <c r="AF311" s="65">
        <f t="shared" si="62"/>
        <v>0</v>
      </c>
      <c r="AG311" s="64" t="s">
        <v>26</v>
      </c>
      <c r="AH311" s="64">
        <f t="shared" si="63"/>
        <v>0</v>
      </c>
      <c r="AI311" s="65">
        <f t="shared" si="64"/>
        <v>0</v>
      </c>
      <c r="AJ311" s="64" t="str">
        <f t="shared" si="65"/>
        <v/>
      </c>
      <c r="AK311" s="64" t="str">
        <f t="shared" si="55"/>
        <v/>
      </c>
      <c r="AL311" s="66"/>
    </row>
    <row r="312" spans="1:38" s="67" customFormat="1" ht="24" customHeight="1" x14ac:dyDescent="0.15">
      <c r="A312" s="330">
        <v>293</v>
      </c>
      <c r="B312" s="121"/>
      <c r="C312" s="331"/>
      <c r="D312" s="331"/>
      <c r="E312" s="122"/>
      <c r="F312" s="122"/>
      <c r="G312" s="122"/>
      <c r="H312" s="331"/>
      <c r="I312" s="331"/>
      <c r="J312" s="122"/>
      <c r="K312" s="122"/>
      <c r="L312" s="332"/>
      <c r="M312" s="471"/>
      <c r="N312" s="457"/>
      <c r="O312" s="341"/>
      <c r="P312" s="331"/>
      <c r="Q312" s="331"/>
      <c r="R312" s="331"/>
      <c r="S312" s="276"/>
      <c r="T312" s="64" t="s">
        <v>35</v>
      </c>
      <c r="U312" s="64">
        <f>COUNTIF(D300:D319,"잡")</f>
        <v>0</v>
      </c>
      <c r="V312" s="65">
        <f>COUNTIF(I300:I319,"잡")</f>
        <v>0</v>
      </c>
      <c r="W312" s="64" t="s">
        <v>26</v>
      </c>
      <c r="X312" s="64">
        <f>SUMIF(D300:D319,"잡",F300:F319)</f>
        <v>0</v>
      </c>
      <c r="Y312" s="65">
        <f>SUMIF(I300:I319,"잡",K300:K319)</f>
        <v>0</v>
      </c>
      <c r="Z312" s="64">
        <f>COUNTIF(AJ300:AJ319,"잡국")+COUNTIF(AJ300:AJ319,"잡공")</f>
        <v>0</v>
      </c>
      <c r="AA312" s="65">
        <f>COUNTIF(AK300:AK319,"잡국")+COUNTIF(AK300:AK319,"잡공")</f>
        <v>0</v>
      </c>
      <c r="AB312" s="64" t="s">
        <v>26</v>
      </c>
      <c r="AC312" s="64">
        <f>SUMIF(AJ300:AJ319,"잡국",F300:F319)+SUMIF(AJ300:AJ319,"잡공",F300:F319)</f>
        <v>0</v>
      </c>
      <c r="AD312" s="65">
        <f>SUMIF(AK300:AK319,"잡국",K300:K319)+SUMIF(AK300:AK319,"잡공",K300:K319)</f>
        <v>0</v>
      </c>
      <c r="AE312" s="64">
        <f t="shared" si="61"/>
        <v>0</v>
      </c>
      <c r="AF312" s="65">
        <f t="shared" si="62"/>
        <v>0</v>
      </c>
      <c r="AG312" s="64" t="s">
        <v>26</v>
      </c>
      <c r="AH312" s="64">
        <f t="shared" si="63"/>
        <v>0</v>
      </c>
      <c r="AI312" s="65">
        <f t="shared" si="64"/>
        <v>0</v>
      </c>
      <c r="AJ312" s="64" t="str">
        <f t="shared" si="65"/>
        <v/>
      </c>
      <c r="AK312" s="64" t="str">
        <f t="shared" si="55"/>
        <v/>
      </c>
      <c r="AL312" s="66"/>
    </row>
    <row r="313" spans="1:38" s="67" customFormat="1" ht="24" customHeight="1" x14ac:dyDescent="0.15">
      <c r="A313" s="330">
        <v>294</v>
      </c>
      <c r="B313" s="121"/>
      <c r="C313" s="331"/>
      <c r="D313" s="331"/>
      <c r="E313" s="122"/>
      <c r="F313" s="122"/>
      <c r="G313" s="122"/>
      <c r="H313" s="331"/>
      <c r="I313" s="331"/>
      <c r="J313" s="122"/>
      <c r="K313" s="122"/>
      <c r="L313" s="332"/>
      <c r="M313" s="205"/>
      <c r="N313" s="457"/>
      <c r="O313" s="341"/>
      <c r="P313" s="331"/>
      <c r="Q313" s="331"/>
      <c r="R313" s="331"/>
      <c r="S313" s="276"/>
      <c r="T313" s="64" t="s">
        <v>195</v>
      </c>
      <c r="U313" s="64">
        <f>COUNTIF(D300:D319,"창")</f>
        <v>0</v>
      </c>
      <c r="V313" s="65">
        <f>COUNTIF(I300:I319,"창")</f>
        <v>0</v>
      </c>
      <c r="W313" s="64" t="s">
        <v>26</v>
      </c>
      <c r="X313" s="64">
        <f>SUMIF(D300:D319,"창",F300:F319)</f>
        <v>0</v>
      </c>
      <c r="Y313" s="65">
        <f>SUMIF(I300:I319,"창",K300:K319)</f>
        <v>0</v>
      </c>
      <c r="Z313" s="64">
        <f>COUNTIF(AJ300:AJ319,"창국")+COUNTIF(AJ300:AJ319,"창공")</f>
        <v>0</v>
      </c>
      <c r="AA313" s="65">
        <f>COUNTIF(AK300:AK319,"창국")+COUNTIF(AK300:AK319,"창공")</f>
        <v>0</v>
      </c>
      <c r="AB313" s="64" t="s">
        <v>26</v>
      </c>
      <c r="AC313" s="64">
        <f>SUMIF(AJ300:AJ319,"창국",F300:F319)+SUMIF(AJ300:AJ319,"창공",F300:F319)</f>
        <v>0</v>
      </c>
      <c r="AD313" s="65">
        <f>SUMIF(AK300:AK319,"창국",K300:K319)+SUMIF(AK300:AK319,"창공",K300:K319)</f>
        <v>0</v>
      </c>
      <c r="AE313" s="64">
        <f t="shared" si="61"/>
        <v>0</v>
      </c>
      <c r="AF313" s="65">
        <f t="shared" si="62"/>
        <v>0</v>
      </c>
      <c r="AG313" s="64" t="s">
        <v>26</v>
      </c>
      <c r="AH313" s="64">
        <f t="shared" si="63"/>
        <v>0</v>
      </c>
      <c r="AI313" s="65">
        <f t="shared" si="64"/>
        <v>0</v>
      </c>
      <c r="AJ313" s="64" t="str">
        <f t="shared" si="65"/>
        <v/>
      </c>
      <c r="AK313" s="64" t="str">
        <f t="shared" si="55"/>
        <v/>
      </c>
      <c r="AL313" s="66"/>
    </row>
    <row r="314" spans="1:38" s="67" customFormat="1" ht="24" customHeight="1" x14ac:dyDescent="0.15">
      <c r="A314" s="330">
        <v>295</v>
      </c>
      <c r="B314" s="331"/>
      <c r="C314" s="331"/>
      <c r="D314" s="331"/>
      <c r="E314" s="122"/>
      <c r="F314" s="122"/>
      <c r="G314" s="122"/>
      <c r="H314" s="331"/>
      <c r="I314" s="331"/>
      <c r="J314" s="122"/>
      <c r="K314" s="122"/>
      <c r="L314" s="332"/>
      <c r="M314" s="471"/>
      <c r="N314" s="457"/>
      <c r="O314" s="341"/>
      <c r="P314" s="331"/>
      <c r="Q314" s="331"/>
      <c r="R314" s="331"/>
      <c r="S314" s="276"/>
      <c r="T314" s="64" t="s">
        <v>194</v>
      </c>
      <c r="U314" s="64">
        <f>COUNTIF(D300:D319,"장")</f>
        <v>0</v>
      </c>
      <c r="V314" s="65">
        <f>COUNTIF(I300:I319,"장")</f>
        <v>0</v>
      </c>
      <c r="W314" s="64" t="s">
        <v>26</v>
      </c>
      <c r="X314" s="64">
        <f>SUMIF(D300:D319,"장",F300:F319)</f>
        <v>0</v>
      </c>
      <c r="Y314" s="65">
        <f>SUMIF(I300:I319,"장",K300:K319)</f>
        <v>0</v>
      </c>
      <c r="Z314" s="64">
        <f>COUNTIF(AJ300:AJ319,"장국")+COUNTIF(AJ300:AJ319,"장장")</f>
        <v>0</v>
      </c>
      <c r="AA314" s="65">
        <f>COUNTIF(AK300:AK319,"장국")+COUNTIF(AK300:AK319,"장장")</f>
        <v>0</v>
      </c>
      <c r="AB314" s="64" t="s">
        <v>26</v>
      </c>
      <c r="AC314" s="64">
        <f>SUMIF(AJ300:AJ319,"장국",F300:F319)+SUMIF(AJ300:AJ319,"장장",F300:F319)</f>
        <v>0</v>
      </c>
      <c r="AD314" s="65">
        <f>SUMIF(AK300:AK319,"장국",K300:K319)+SUMIF(AK300:AK319,"장장",K300:K319)</f>
        <v>0</v>
      </c>
      <c r="AE314" s="64">
        <f t="shared" si="61"/>
        <v>0</v>
      </c>
      <c r="AF314" s="65">
        <f t="shared" si="62"/>
        <v>0</v>
      </c>
      <c r="AG314" s="64" t="s">
        <v>26</v>
      </c>
      <c r="AH314" s="64">
        <f t="shared" si="63"/>
        <v>0</v>
      </c>
      <c r="AI314" s="65">
        <f t="shared" si="64"/>
        <v>0</v>
      </c>
      <c r="AJ314" s="64" t="str">
        <f t="shared" si="65"/>
        <v/>
      </c>
      <c r="AK314" s="64" t="str">
        <f t="shared" si="55"/>
        <v/>
      </c>
      <c r="AL314" s="66"/>
    </row>
    <row r="315" spans="1:38" s="67" customFormat="1" ht="24" customHeight="1" x14ac:dyDescent="0.15">
      <c r="A315" s="330">
        <v>296</v>
      </c>
      <c r="B315" s="331"/>
      <c r="C315" s="331"/>
      <c r="D315" s="331"/>
      <c r="E315" s="122"/>
      <c r="F315" s="122"/>
      <c r="G315" s="122"/>
      <c r="H315" s="331"/>
      <c r="I315" s="331"/>
      <c r="J315" s="122"/>
      <c r="K315" s="122"/>
      <c r="L315" s="332"/>
      <c r="M315" s="471"/>
      <c r="N315" s="457"/>
      <c r="O315" s="341"/>
      <c r="P315" s="331"/>
      <c r="Q315" s="331"/>
      <c r="R315" s="331"/>
      <c r="S315" s="276"/>
      <c r="T315" s="70" t="s">
        <v>193</v>
      </c>
      <c r="U315" s="64">
        <f>COUNTIF(D300:D319,"학")</f>
        <v>0</v>
      </c>
      <c r="V315" s="65">
        <f>COUNTIF(I300:I319,"학")</f>
        <v>0</v>
      </c>
      <c r="W315" s="64" t="s">
        <v>26</v>
      </c>
      <c r="X315" s="64">
        <f>SUMIF(D300:D319,"학",F300:F319)</f>
        <v>0</v>
      </c>
      <c r="Y315" s="65">
        <f>SUMIF(I300:I319,"학",K300:K319)</f>
        <v>0</v>
      </c>
      <c r="Z315" s="64">
        <f>COUNTIF(AJ300:AJ319,"학국")+COUNTIF(AJ300:AJ319,"학공")</f>
        <v>0</v>
      </c>
      <c r="AA315" s="65">
        <f>COUNTIF(AK300:AK319,"학국")+COUNTIF(AK300:AK319,"학공")</f>
        <v>0</v>
      </c>
      <c r="AB315" s="64" t="s">
        <v>26</v>
      </c>
      <c r="AC315" s="64">
        <f>SUMIF(AJ300:AJ319,"학국",F300:F319)+SUMIF(AJ300:AJ319,"학공",F300:F319)</f>
        <v>0</v>
      </c>
      <c r="AD315" s="65">
        <f>SUMIF(AK300:AK319,"학국",K300:K319)+SUMIF(AK300:AK319,"학공",K300:K319)</f>
        <v>0</v>
      </c>
      <c r="AE315" s="64">
        <f t="shared" si="61"/>
        <v>0</v>
      </c>
      <c r="AF315" s="65">
        <f t="shared" si="62"/>
        <v>0</v>
      </c>
      <c r="AG315" s="64" t="s">
        <v>26</v>
      </c>
      <c r="AH315" s="64">
        <f t="shared" si="63"/>
        <v>0</v>
      </c>
      <c r="AI315" s="65">
        <f t="shared" si="64"/>
        <v>0</v>
      </c>
      <c r="AJ315" s="64" t="str">
        <f t="shared" si="65"/>
        <v/>
      </c>
      <c r="AK315" s="64" t="str">
        <f t="shared" si="55"/>
        <v/>
      </c>
      <c r="AL315" s="66"/>
    </row>
    <row r="316" spans="1:38" s="67" customFormat="1" ht="24" customHeight="1" x14ac:dyDescent="0.15">
      <c r="A316" s="330">
        <v>297</v>
      </c>
      <c r="B316" s="331"/>
      <c r="C316" s="331"/>
      <c r="D316" s="331"/>
      <c r="E316" s="122"/>
      <c r="F316" s="122"/>
      <c r="G316" s="122"/>
      <c r="H316" s="331"/>
      <c r="I316" s="331"/>
      <c r="J316" s="122"/>
      <c r="K316" s="122"/>
      <c r="L316" s="332"/>
      <c r="M316" s="205"/>
      <c r="N316" s="457"/>
      <c r="O316" s="341"/>
      <c r="P316" s="331"/>
      <c r="Q316" s="331"/>
      <c r="R316" s="331"/>
      <c r="S316" s="276"/>
      <c r="T316" s="70" t="s">
        <v>5</v>
      </c>
      <c r="U316" s="64">
        <f>COUNTIF(D300:D319,"목")</f>
        <v>0</v>
      </c>
      <c r="V316" s="65">
        <f>COUNTIF(I300:I319,"목")</f>
        <v>0</v>
      </c>
      <c r="W316" s="64" t="s">
        <v>26</v>
      </c>
      <c r="X316" s="64">
        <f>SUMIF(D300:D319,"목",F300:F319)</f>
        <v>0</v>
      </c>
      <c r="Y316" s="65">
        <f>SUMIF(I300:I319,"목",K300:K319)</f>
        <v>0</v>
      </c>
      <c r="Z316" s="64">
        <f>COUNTIF(AJ300:AJ319,"목국")+COUNTIF(AJ300:AJ319,"목공")</f>
        <v>0</v>
      </c>
      <c r="AA316" s="65">
        <f>COUNTIF(AK300:AK319,"목국")+COUNTIF(AK300:AK319,"목공")</f>
        <v>0</v>
      </c>
      <c r="AB316" s="64" t="s">
        <v>26</v>
      </c>
      <c r="AC316" s="64">
        <f>SUMIF(AJ300:AJ319,"목국",F300:F319)+SUMIF(AJ300:AJ319,"목공",F300:F319)</f>
        <v>0</v>
      </c>
      <c r="AD316" s="65">
        <f>SUMIF(AK300:AK319,"목국",K300:K319)+SUMIF(AK300:AK319,"목공",K300:K319)</f>
        <v>0</v>
      </c>
      <c r="AE316" s="64">
        <f t="shared" si="61"/>
        <v>0</v>
      </c>
      <c r="AF316" s="65">
        <f t="shared" si="62"/>
        <v>0</v>
      </c>
      <c r="AG316" s="64" t="s">
        <v>26</v>
      </c>
      <c r="AH316" s="64">
        <f t="shared" si="63"/>
        <v>0</v>
      </c>
      <c r="AI316" s="65">
        <f t="shared" si="64"/>
        <v>0</v>
      </c>
      <c r="AJ316" s="64" t="str">
        <f t="shared" si="65"/>
        <v/>
      </c>
      <c r="AK316" s="64" t="str">
        <f t="shared" si="55"/>
        <v/>
      </c>
      <c r="AL316" s="66"/>
    </row>
    <row r="317" spans="1:38" s="67" customFormat="1" ht="24" customHeight="1" x14ac:dyDescent="0.15">
      <c r="A317" s="330">
        <v>298</v>
      </c>
      <c r="B317" s="331"/>
      <c r="C317" s="331"/>
      <c r="D317" s="331"/>
      <c r="E317" s="122"/>
      <c r="F317" s="122"/>
      <c r="G317" s="122"/>
      <c r="H317" s="331"/>
      <c r="I317" s="331"/>
      <c r="J317" s="122"/>
      <c r="K317" s="122"/>
      <c r="L317" s="332"/>
      <c r="M317" s="471"/>
      <c r="N317" s="457"/>
      <c r="O317" s="341"/>
      <c r="P317" s="331"/>
      <c r="Q317" s="331"/>
      <c r="R317" s="331"/>
      <c r="S317" s="276"/>
      <c r="T317" s="70"/>
      <c r="U317" s="70"/>
      <c r="V317" s="71"/>
      <c r="W317" s="70"/>
      <c r="X317" s="70"/>
      <c r="Y317" s="71"/>
      <c r="Z317" s="64"/>
      <c r="AA317" s="65"/>
      <c r="AB317" s="70"/>
      <c r="AC317" s="64"/>
      <c r="AD317" s="65"/>
      <c r="AE317" s="70"/>
      <c r="AF317" s="71"/>
      <c r="AG317" s="70"/>
      <c r="AH317" s="70"/>
      <c r="AI317" s="71"/>
      <c r="AJ317" s="64" t="str">
        <f t="shared" si="65"/>
        <v/>
      </c>
      <c r="AK317" s="64" t="str">
        <f t="shared" si="55"/>
        <v/>
      </c>
      <c r="AL317" s="66"/>
    </row>
    <row r="318" spans="1:38" s="67" customFormat="1" ht="24" customHeight="1" x14ac:dyDescent="0.15">
      <c r="A318" s="330">
        <v>299</v>
      </c>
      <c r="B318" s="331"/>
      <c r="C318" s="331"/>
      <c r="D318" s="331"/>
      <c r="E318" s="122"/>
      <c r="F318" s="122"/>
      <c r="G318" s="122"/>
      <c r="H318" s="331"/>
      <c r="I318" s="331"/>
      <c r="J318" s="122"/>
      <c r="K318" s="122"/>
      <c r="L318" s="332"/>
      <c r="M318" s="205"/>
      <c r="N318" s="457"/>
      <c r="O318" s="341"/>
      <c r="P318" s="331"/>
      <c r="Q318" s="331"/>
      <c r="R318" s="331"/>
      <c r="S318" s="276"/>
      <c r="T318" s="70"/>
      <c r="U318" s="70"/>
      <c r="V318" s="71"/>
      <c r="W318" s="70"/>
      <c r="X318" s="70"/>
      <c r="Y318" s="71"/>
      <c r="Z318" s="64"/>
      <c r="AA318" s="65"/>
      <c r="AB318" s="70"/>
      <c r="AC318" s="64"/>
      <c r="AD318" s="65"/>
      <c r="AE318" s="70"/>
      <c r="AF318" s="71"/>
      <c r="AG318" s="70"/>
      <c r="AH318" s="70"/>
      <c r="AI318" s="71"/>
      <c r="AJ318" s="64" t="str">
        <f t="shared" si="65"/>
        <v/>
      </c>
      <c r="AK318" s="64" t="str">
        <f t="shared" si="55"/>
        <v/>
      </c>
      <c r="AL318" s="66"/>
    </row>
    <row r="319" spans="1:38" s="67" customFormat="1" ht="24" customHeight="1" x14ac:dyDescent="0.15">
      <c r="A319" s="379">
        <v>300</v>
      </c>
      <c r="B319" s="331"/>
      <c r="C319" s="380"/>
      <c r="D319" s="380"/>
      <c r="E319" s="381"/>
      <c r="F319" s="381"/>
      <c r="G319" s="381"/>
      <c r="H319" s="380"/>
      <c r="I319" s="380"/>
      <c r="J319" s="381"/>
      <c r="K319" s="381"/>
      <c r="L319" s="382"/>
      <c r="M319" s="383"/>
      <c r="N319" s="458"/>
      <c r="O319" s="459"/>
      <c r="P319" s="380"/>
      <c r="Q319" s="380"/>
      <c r="R319" s="380"/>
      <c r="S319" s="384"/>
      <c r="T319" s="72" t="s">
        <v>37</v>
      </c>
      <c r="U319" s="72">
        <f>COUNTIF(D300:D319,"철")</f>
        <v>0</v>
      </c>
      <c r="V319" s="73">
        <f>COUNTIF(I300:I319,"철")</f>
        <v>0</v>
      </c>
      <c r="W319" s="72" t="s">
        <v>26</v>
      </c>
      <c r="X319" s="72">
        <f>SUMIF(D300:D319,"철",F300:F319)</f>
        <v>0</v>
      </c>
      <c r="Y319" s="73">
        <f>SUMIF(I300:I319,"철",K300:K319)</f>
        <v>0</v>
      </c>
      <c r="Z319" s="64">
        <f>COUNTIF(AJ300:AJ319,"철국")+COUNTIF(AJ300:AJ319,"철공")</f>
        <v>0</v>
      </c>
      <c r="AA319" s="65">
        <f>COUNTIF(AK300:AK319,"철국")+COUNTIF(AK300:AK319,"철공")</f>
        <v>0</v>
      </c>
      <c r="AB319" s="72" t="s">
        <v>26</v>
      </c>
      <c r="AC319" s="64">
        <f>SUMIF(AJ300:AJ319,"철국",F300:F319)+SUMIF(AJ300:AJ319,"철공",F300:F319)</f>
        <v>0</v>
      </c>
      <c r="AD319" s="65">
        <f>SUMIF(AK300:AK319,"철국",K300:K319)+SUMIF(AK300:AK319,"철공",K300:K319)</f>
        <v>0</v>
      </c>
      <c r="AE319" s="72"/>
      <c r="AF319" s="73"/>
      <c r="AG319" s="72"/>
      <c r="AH319" s="72"/>
      <c r="AI319" s="73"/>
      <c r="AJ319" s="64" t="str">
        <f t="shared" si="65"/>
        <v/>
      </c>
      <c r="AK319" s="64" t="str">
        <f t="shared" si="55"/>
        <v/>
      </c>
      <c r="AL319" s="66"/>
    </row>
    <row r="320" spans="1:38" s="67" customFormat="1" ht="24" customHeight="1" thickBot="1" x14ac:dyDescent="0.2">
      <c r="A320" s="147" t="s">
        <v>48</v>
      </c>
      <c r="B320" s="148"/>
      <c r="C320" s="178"/>
      <c r="D320" s="178"/>
      <c r="E320" s="293"/>
      <c r="F320" s="325">
        <f>SUM(F300:F319)</f>
        <v>0</v>
      </c>
      <c r="G320" s="295"/>
      <c r="H320" s="295"/>
      <c r="I320" s="296"/>
      <c r="J320" s="297"/>
      <c r="K320" s="326">
        <f>SUM(K300:K319)</f>
        <v>0</v>
      </c>
      <c r="L320" s="150"/>
      <c r="M320" s="150"/>
      <c r="N320" s="432"/>
      <c r="O320" s="432"/>
      <c r="P320" s="150"/>
      <c r="Q320" s="150"/>
      <c r="R320" s="150"/>
      <c r="S320" s="151"/>
      <c r="T320" s="62" t="s">
        <v>24</v>
      </c>
      <c r="U320" s="63">
        <f t="shared" ref="U320:AA320" si="66">SUM(U300:U319)</f>
        <v>0</v>
      </c>
      <c r="V320" s="63">
        <f t="shared" si="66"/>
        <v>0</v>
      </c>
      <c r="W320" s="63">
        <f t="shared" si="66"/>
        <v>0</v>
      </c>
      <c r="X320" s="63">
        <f t="shared" si="66"/>
        <v>0</v>
      </c>
      <c r="Y320" s="63">
        <f t="shared" si="66"/>
        <v>0</v>
      </c>
      <c r="Z320" s="277">
        <f t="shared" si="66"/>
        <v>0</v>
      </c>
      <c r="AA320" s="278">
        <f t="shared" si="66"/>
        <v>0</v>
      </c>
      <c r="AB320" s="277" t="s">
        <v>26</v>
      </c>
      <c r="AC320" s="277">
        <f>SUM(AC300:AC319)</f>
        <v>0</v>
      </c>
      <c r="AD320" s="278">
        <f>SUM(AD300:AD319)</f>
        <v>0</v>
      </c>
      <c r="AE320" s="63">
        <f>SUM(AE300:AE319)</f>
        <v>0</v>
      </c>
      <c r="AF320" s="63">
        <f>SUM(AF300:AF319)</f>
        <v>0</v>
      </c>
      <c r="AG320" s="63" t="s">
        <v>26</v>
      </c>
      <c r="AH320" s="63">
        <f>SUM(AH300:AH319)</f>
        <v>0</v>
      </c>
      <c r="AI320" s="63">
        <f>SUM(AI300:AI319)</f>
        <v>0</v>
      </c>
      <c r="AJ320" s="63"/>
      <c r="AK320" s="64" t="str">
        <f>CONCATENATE(I320,N320)</f>
        <v/>
      </c>
      <c r="AL320" s="66"/>
    </row>
    <row r="321" spans="1:38" s="67" customFormat="1" ht="24" customHeight="1" x14ac:dyDescent="0.15">
      <c r="A321" s="388">
        <v>301</v>
      </c>
      <c r="B321" s="215"/>
      <c r="C321" s="335"/>
      <c r="D321" s="389"/>
      <c r="E321" s="336"/>
      <c r="F321" s="336"/>
      <c r="G321" s="336"/>
      <c r="H321" s="389"/>
      <c r="I321" s="335"/>
      <c r="J321" s="336"/>
      <c r="K321" s="336"/>
      <c r="L321" s="390"/>
      <c r="M321" s="480"/>
      <c r="N321" s="460"/>
      <c r="O321" s="337"/>
      <c r="P321" s="335"/>
      <c r="Q321" s="335"/>
      <c r="R321" s="335"/>
      <c r="S321" s="391"/>
      <c r="T321" s="64" t="s">
        <v>27</v>
      </c>
      <c r="U321" s="64">
        <f>COUNTIF(D321:D340,"전")</f>
        <v>0</v>
      </c>
      <c r="V321" s="65">
        <f>COUNTIF(I321:I340,"전")</f>
        <v>0</v>
      </c>
      <c r="W321" s="64" t="s">
        <v>26</v>
      </c>
      <c r="X321" s="64">
        <f>SUMIF(D321:D340,"전",F321:F340)</f>
        <v>0</v>
      </c>
      <c r="Y321" s="65">
        <f>SUMIF(I321:I340,"전",K321:K340)</f>
        <v>0</v>
      </c>
      <c r="Z321" s="64">
        <f>COUNTIF(AJ321:AJ340,"전국")+COUNTIF(AJ321:AJ340,"전공")</f>
        <v>0</v>
      </c>
      <c r="AA321" s="65">
        <f>COUNTIF(AK321:AK340,"전국")+COUNTIF(AK321:AK340,"전공")</f>
        <v>0</v>
      </c>
      <c r="AB321" s="64" t="s">
        <v>26</v>
      </c>
      <c r="AC321" s="64">
        <f>SUMIF(AJ321:AJ340,"전국",F321:F340)+SUMIF(AJ321:AJ340,"전공",F321:F340)</f>
        <v>0</v>
      </c>
      <c r="AD321" s="65">
        <f>SUMIF(AK321:AK340,"전국",K321:K340)+SUMIF(AK321:AK340,"전공",K321:K340)</f>
        <v>0</v>
      </c>
      <c r="AE321" s="64">
        <f t="shared" ref="AE321:AE337" si="67">U321-Z321</f>
        <v>0</v>
      </c>
      <c r="AF321" s="65">
        <f t="shared" ref="AF321:AF337" si="68">V321-AA321</f>
        <v>0</v>
      </c>
      <c r="AG321" s="64" t="s">
        <v>26</v>
      </c>
      <c r="AH321" s="64">
        <f t="shared" ref="AH321:AH337" si="69">X321-AC321</f>
        <v>0</v>
      </c>
      <c r="AI321" s="65">
        <f t="shared" ref="AI321:AI337" si="70">Y321-AD321</f>
        <v>0</v>
      </c>
      <c r="AJ321" s="64" t="str">
        <f t="shared" ref="AJ321:AJ340" si="71">CONCATENATE(D321,L321)</f>
        <v/>
      </c>
      <c r="AK321" s="64" t="str">
        <f t="shared" si="55"/>
        <v/>
      </c>
      <c r="AL321" s="66"/>
    </row>
    <row r="322" spans="1:38" s="67" customFormat="1" ht="24" customHeight="1" x14ac:dyDescent="0.15">
      <c r="A322" s="330">
        <v>302</v>
      </c>
      <c r="B322" s="121"/>
      <c r="C322" s="205"/>
      <c r="D322" s="331"/>
      <c r="E322" s="122"/>
      <c r="F322" s="122"/>
      <c r="G322" s="122"/>
      <c r="H322" s="331"/>
      <c r="I322" s="205"/>
      <c r="J322" s="122"/>
      <c r="K322" s="122"/>
      <c r="L322" s="333"/>
      <c r="M322" s="205"/>
      <c r="N322" s="436"/>
      <c r="O322" s="341"/>
      <c r="P322" s="205"/>
      <c r="Q322" s="205"/>
      <c r="R322" s="205"/>
      <c r="S322" s="276"/>
      <c r="T322" s="64" t="s">
        <v>28</v>
      </c>
      <c r="U322" s="64">
        <f>COUNTIF(D321:D340,"답")</f>
        <v>0</v>
      </c>
      <c r="V322" s="65">
        <f>COUNTIF(I321:I340,"답")</f>
        <v>0</v>
      </c>
      <c r="W322" s="64" t="s">
        <v>26</v>
      </c>
      <c r="X322" s="64">
        <f>SUMIF(D321:D340,"답",F321:F340)</f>
        <v>0</v>
      </c>
      <c r="Y322" s="65">
        <f>SUMIF(I321:I340,"답",K321:K340)</f>
        <v>0</v>
      </c>
      <c r="Z322" s="64">
        <f>COUNTIF(AJ321:AJ340,"답국")+COUNTIF(AJ321:AJ340,"답공")</f>
        <v>0</v>
      </c>
      <c r="AA322" s="65">
        <f>COUNTIF(AK321:AK340,"답국")+COUNTIF(AK321:AK340,"답공")</f>
        <v>0</v>
      </c>
      <c r="AB322" s="64" t="s">
        <v>26</v>
      </c>
      <c r="AC322" s="64">
        <f>SUMIF(AJ321:AJ340,"답국",F321:F340)+SUMIF(AJ321:AJ340,"답공",F321:F340)</f>
        <v>0</v>
      </c>
      <c r="AD322" s="65">
        <f>SUMIF(AK321:AK340,"답국",K321:K340)+SUMIF(AK321:AK340,"답공",K321:K340)</f>
        <v>0</v>
      </c>
      <c r="AE322" s="64">
        <f t="shared" si="67"/>
        <v>0</v>
      </c>
      <c r="AF322" s="65">
        <f t="shared" si="68"/>
        <v>0</v>
      </c>
      <c r="AG322" s="64" t="s">
        <v>26</v>
      </c>
      <c r="AH322" s="64">
        <f t="shared" si="69"/>
        <v>0</v>
      </c>
      <c r="AI322" s="65">
        <f t="shared" si="70"/>
        <v>0</v>
      </c>
      <c r="AJ322" s="64" t="str">
        <f t="shared" si="71"/>
        <v/>
      </c>
      <c r="AK322" s="64" t="str">
        <f t="shared" si="55"/>
        <v/>
      </c>
      <c r="AL322" s="66"/>
    </row>
    <row r="323" spans="1:38" s="67" customFormat="1" ht="24" customHeight="1" x14ac:dyDescent="0.15">
      <c r="A323" s="330">
        <v>303</v>
      </c>
      <c r="B323" s="121"/>
      <c r="C323" s="205"/>
      <c r="D323" s="331"/>
      <c r="E323" s="122"/>
      <c r="F323" s="122"/>
      <c r="G323" s="122"/>
      <c r="H323" s="331"/>
      <c r="I323" s="205"/>
      <c r="J323" s="122"/>
      <c r="K323" s="122"/>
      <c r="L323" s="333"/>
      <c r="M323" s="205"/>
      <c r="N323" s="436"/>
      <c r="O323" s="341"/>
      <c r="P323" s="205"/>
      <c r="Q323" s="205"/>
      <c r="R323" s="205"/>
      <c r="S323" s="276"/>
      <c r="T323" s="64" t="s">
        <v>44</v>
      </c>
      <c r="U323" s="64">
        <f>COUNTIF(D321:D340,"임")</f>
        <v>0</v>
      </c>
      <c r="V323" s="65">
        <f>COUNTIF(I321:I340,"임")</f>
        <v>0</v>
      </c>
      <c r="W323" s="64" t="s">
        <v>26</v>
      </c>
      <c r="X323" s="64">
        <f>SUMIF(D321:D340,"임",F321:F340)</f>
        <v>0</v>
      </c>
      <c r="Y323" s="65">
        <f>SUMIF(I321:I340,"임",K321:K340)</f>
        <v>0</v>
      </c>
      <c r="Z323" s="64">
        <f>COUNTIF(AJ321:AJ340,"임국")+COUNTIF(AJ321:AJ340,"임공")</f>
        <v>0</v>
      </c>
      <c r="AA323" s="65">
        <f>COUNTIF(AK321:AK340,"임국")+COUNTIF(AK321:AK340,"임공")</f>
        <v>0</v>
      </c>
      <c r="AB323" s="64" t="s">
        <v>26</v>
      </c>
      <c r="AC323" s="64">
        <f>SUMIF(AJ321:AJ340,"임국",F321:F340)+SUMIF(AJ321:AJ340,"임공",F321:F340)</f>
        <v>0</v>
      </c>
      <c r="AD323" s="65">
        <f>SUMIF(AK321:AK340,"임국",K321:K340)+SUMIF(AK321:AK340,"임공",K321:K340)</f>
        <v>0</v>
      </c>
      <c r="AE323" s="64">
        <f t="shared" si="67"/>
        <v>0</v>
      </c>
      <c r="AF323" s="65">
        <f t="shared" si="68"/>
        <v>0</v>
      </c>
      <c r="AG323" s="64" t="s">
        <v>26</v>
      </c>
      <c r="AH323" s="64">
        <f t="shared" si="69"/>
        <v>0</v>
      </c>
      <c r="AI323" s="65">
        <f t="shared" si="70"/>
        <v>0</v>
      </c>
      <c r="AJ323" s="64" t="str">
        <f t="shared" si="71"/>
        <v/>
      </c>
      <c r="AK323" s="64" t="str">
        <f t="shared" si="55"/>
        <v/>
      </c>
      <c r="AL323" s="66"/>
    </row>
    <row r="324" spans="1:38" s="67" customFormat="1" ht="24" customHeight="1" x14ac:dyDescent="0.15">
      <c r="A324" s="330">
        <v>304</v>
      </c>
      <c r="B324" s="121"/>
      <c r="C324" s="205"/>
      <c r="D324" s="331"/>
      <c r="E324" s="122"/>
      <c r="F324" s="122"/>
      <c r="G324" s="122"/>
      <c r="H324" s="331"/>
      <c r="I324" s="205"/>
      <c r="J324" s="122"/>
      <c r="K324" s="122"/>
      <c r="L324" s="333"/>
      <c r="M324" s="205"/>
      <c r="N324" s="436"/>
      <c r="O324" s="341"/>
      <c r="P324" s="205"/>
      <c r="Q324" s="205"/>
      <c r="R324" s="205"/>
      <c r="S324" s="276"/>
      <c r="T324" s="64" t="s">
        <v>45</v>
      </c>
      <c r="U324" s="64">
        <f>COUNTIF(D321:D340,"대")</f>
        <v>0</v>
      </c>
      <c r="V324" s="65">
        <f>COUNTIF(I321:I340,"대")</f>
        <v>0</v>
      </c>
      <c r="W324" s="64" t="s">
        <v>26</v>
      </c>
      <c r="X324" s="64">
        <f>SUMIF(D321:D340,"대",F321:F340)</f>
        <v>0</v>
      </c>
      <c r="Y324" s="65">
        <f>SUMIF(I321:I340,"대",K321:K340)</f>
        <v>0</v>
      </c>
      <c r="Z324" s="64">
        <f>COUNTIF(AJ321:AJ340,"대국")+COUNTIF(AJ321:AJ340,"대공")</f>
        <v>0</v>
      </c>
      <c r="AA324" s="65">
        <f>COUNTIF(AK321:AK340,"대국")+COUNTIF(AK321:AK340,"대공")</f>
        <v>0</v>
      </c>
      <c r="AB324" s="64" t="s">
        <v>26</v>
      </c>
      <c r="AC324" s="64">
        <f>SUMIF(AJ321:AJ340,"대국",F321:F340)+SUMIF(AJ321:AJ340,"대공",F321:F340)</f>
        <v>0</v>
      </c>
      <c r="AD324" s="65">
        <f>SUMIF(AK321:AK340,"대국",K321:K340)+SUMIF(AK321:AK340,"대공",K321:K340)</f>
        <v>0</v>
      </c>
      <c r="AE324" s="64">
        <f t="shared" si="67"/>
        <v>0</v>
      </c>
      <c r="AF324" s="65">
        <f t="shared" si="68"/>
        <v>0</v>
      </c>
      <c r="AG324" s="64" t="s">
        <v>26</v>
      </c>
      <c r="AH324" s="64">
        <f t="shared" si="69"/>
        <v>0</v>
      </c>
      <c r="AI324" s="65">
        <f t="shared" si="70"/>
        <v>0</v>
      </c>
      <c r="AJ324" s="64" t="str">
        <f t="shared" si="71"/>
        <v/>
      </c>
      <c r="AK324" s="64" t="str">
        <f t="shared" si="55"/>
        <v/>
      </c>
      <c r="AL324" s="66"/>
    </row>
    <row r="325" spans="1:38" s="67" customFormat="1" ht="24" customHeight="1" x14ac:dyDescent="0.15">
      <c r="A325" s="330">
        <v>305</v>
      </c>
      <c r="B325" s="121"/>
      <c r="C325" s="205"/>
      <c r="D325" s="331"/>
      <c r="E325" s="122"/>
      <c r="F325" s="122"/>
      <c r="G325" s="122"/>
      <c r="H325" s="331"/>
      <c r="I325" s="205"/>
      <c r="J325" s="122"/>
      <c r="K325" s="122"/>
      <c r="L325" s="333"/>
      <c r="M325" s="205"/>
      <c r="N325" s="436"/>
      <c r="O325" s="341"/>
      <c r="P325" s="205"/>
      <c r="Q325" s="205"/>
      <c r="R325" s="205"/>
      <c r="S325" s="276"/>
      <c r="T325" s="64" t="s">
        <v>31</v>
      </c>
      <c r="U325" s="64">
        <f>COUNTIF(D321:D340,"도")</f>
        <v>0</v>
      </c>
      <c r="V325" s="65">
        <f>COUNTIF(I321:I340,"도")</f>
        <v>0</v>
      </c>
      <c r="W325" s="64" t="s">
        <v>26</v>
      </c>
      <c r="X325" s="64">
        <f>SUMIF(D321:D340,"도",F321:F340)</f>
        <v>0</v>
      </c>
      <c r="Y325" s="65">
        <f>SUMIF(I321:I340,"도",K321:K340)</f>
        <v>0</v>
      </c>
      <c r="Z325" s="64">
        <f>COUNTIF(AJ321:AJ340,"도국")+COUNTIF(AJ321:AJ340,"도공")</f>
        <v>0</v>
      </c>
      <c r="AA325" s="65">
        <f>COUNTIF(AK321:AK340,"도국")+COUNTIF(AK321:AK340,"도공")</f>
        <v>0</v>
      </c>
      <c r="AB325" s="64" t="s">
        <v>26</v>
      </c>
      <c r="AC325" s="64">
        <f>SUMIF(AJ321:AJ340,"도국",F321:F340)+SUMIF(AJ321:AJ340,"도공",F321:F340)</f>
        <v>0</v>
      </c>
      <c r="AD325" s="65">
        <f>SUMIF(AK321:AK340,"도국",K321:K340)+SUMIF(AK321:AK340,"도공",K321:K340)</f>
        <v>0</v>
      </c>
      <c r="AE325" s="64">
        <f t="shared" si="67"/>
        <v>0</v>
      </c>
      <c r="AF325" s="65">
        <f t="shared" si="68"/>
        <v>0</v>
      </c>
      <c r="AG325" s="64" t="s">
        <v>26</v>
      </c>
      <c r="AH325" s="64">
        <f t="shared" si="69"/>
        <v>0</v>
      </c>
      <c r="AI325" s="65">
        <f t="shared" si="70"/>
        <v>0</v>
      </c>
      <c r="AJ325" s="64" t="str">
        <f t="shared" si="71"/>
        <v/>
      </c>
      <c r="AK325" s="64" t="str">
        <f t="shared" si="55"/>
        <v/>
      </c>
      <c r="AL325" s="66"/>
    </row>
    <row r="326" spans="1:38" s="67" customFormat="1" ht="24" customHeight="1" x14ac:dyDescent="0.15">
      <c r="A326" s="330">
        <v>306</v>
      </c>
      <c r="B326" s="121"/>
      <c r="C326" s="205"/>
      <c r="D326" s="331"/>
      <c r="E326" s="122"/>
      <c r="F326" s="122"/>
      <c r="G326" s="122"/>
      <c r="H326" s="331"/>
      <c r="I326" s="205"/>
      <c r="J326" s="122"/>
      <c r="K326" s="122"/>
      <c r="L326" s="333"/>
      <c r="M326" s="205"/>
      <c r="N326" s="436"/>
      <c r="O326" s="341"/>
      <c r="P326" s="205"/>
      <c r="Q326" s="205"/>
      <c r="R326" s="205"/>
      <c r="S326" s="276"/>
      <c r="T326" s="64" t="s">
        <v>32</v>
      </c>
      <c r="U326" s="68">
        <f>COUNTIF(D321:D340,"천")</f>
        <v>0</v>
      </c>
      <c r="V326" s="69">
        <f>COUNTIF(I321:I340,"천")</f>
        <v>0</v>
      </c>
      <c r="W326" s="64" t="s">
        <v>26</v>
      </c>
      <c r="X326" s="64">
        <f>SUMIF(D321:D340,"천",F321:F340)</f>
        <v>0</v>
      </c>
      <c r="Y326" s="65">
        <f>SUMIF(I321:I340,"천",K321:K340)</f>
        <v>0</v>
      </c>
      <c r="Z326" s="64">
        <f>COUNTIF(AJ321:AJ340,"천국")+COUNTIF(AJ321:AJ340,"천공")</f>
        <v>0</v>
      </c>
      <c r="AA326" s="65">
        <f>COUNTIF(AK321:AK340,"천국")+COUNTIF(AK321:AK340,"천공")</f>
        <v>0</v>
      </c>
      <c r="AB326" s="64" t="s">
        <v>26</v>
      </c>
      <c r="AC326" s="64">
        <f>SUMIF(AJ321:AJ340,"천국",F321:F340)+SUMIF(AJ321:AJ340,"천공",F321:F340)</f>
        <v>0</v>
      </c>
      <c r="AD326" s="65">
        <f>SUMIF(AK321:AK340,"천국",K321:K340)+SUMIF(AK321:AK340,"천공",K321:K340)</f>
        <v>0</v>
      </c>
      <c r="AE326" s="64">
        <f t="shared" si="67"/>
        <v>0</v>
      </c>
      <c r="AF326" s="65">
        <f t="shared" si="68"/>
        <v>0</v>
      </c>
      <c r="AG326" s="64" t="s">
        <v>26</v>
      </c>
      <c r="AH326" s="64">
        <f t="shared" si="69"/>
        <v>0</v>
      </c>
      <c r="AI326" s="65">
        <f t="shared" si="70"/>
        <v>0</v>
      </c>
      <c r="AJ326" s="64" t="str">
        <f t="shared" si="71"/>
        <v/>
      </c>
      <c r="AK326" s="64" t="str">
        <f t="shared" si="55"/>
        <v/>
      </c>
      <c r="AL326" s="66"/>
    </row>
    <row r="327" spans="1:38" s="67" customFormat="1" ht="24" customHeight="1" x14ac:dyDescent="0.15">
      <c r="A327" s="330">
        <v>307</v>
      </c>
      <c r="B327" s="121"/>
      <c r="C327" s="205"/>
      <c r="D327" s="331"/>
      <c r="E327" s="122"/>
      <c r="F327" s="122"/>
      <c r="G327" s="122"/>
      <c r="H327" s="331"/>
      <c r="I327" s="205"/>
      <c r="J327" s="122"/>
      <c r="K327" s="122"/>
      <c r="L327" s="333"/>
      <c r="M327" s="205"/>
      <c r="N327" s="436"/>
      <c r="O327" s="341"/>
      <c r="P327" s="205"/>
      <c r="Q327" s="205"/>
      <c r="R327" s="205"/>
      <c r="S327" s="276"/>
      <c r="T327" s="64" t="s">
        <v>33</v>
      </c>
      <c r="U327" s="64">
        <f>COUNTIF(D321:D340,"구")</f>
        <v>0</v>
      </c>
      <c r="V327" s="65">
        <f>COUNTIF(I321:I340,"구")</f>
        <v>0</v>
      </c>
      <c r="W327" s="64" t="s">
        <v>26</v>
      </c>
      <c r="X327" s="64">
        <f>SUMIF(D321:D340,"구",F321:F340)</f>
        <v>0</v>
      </c>
      <c r="Y327" s="65">
        <f>SUMIF(I321:I340,"구",K321:K340)</f>
        <v>0</v>
      </c>
      <c r="Z327" s="64">
        <f>COUNTIF(AJ321:AJ340,"구국")+COUNTIF(AJ321:AJ340,"구공")</f>
        <v>0</v>
      </c>
      <c r="AA327" s="65">
        <f>COUNTIF(AK321:AK340,"구국")+COUNTIF(AK321:AK340,"구공")</f>
        <v>0</v>
      </c>
      <c r="AB327" s="64" t="s">
        <v>26</v>
      </c>
      <c r="AC327" s="64">
        <f>SUMIF(AJ321:AJ340,"구국",F321:F340)+SUMIF(AJ321:AJ340,"구공",F321:F340)</f>
        <v>0</v>
      </c>
      <c r="AD327" s="65">
        <f>SUMIF(AK321:AK340,"구국",K321:K340)+SUMIF(AK321:AK340,"구공",K321:K340)</f>
        <v>0</v>
      </c>
      <c r="AE327" s="64">
        <f t="shared" si="67"/>
        <v>0</v>
      </c>
      <c r="AF327" s="65">
        <f t="shared" si="68"/>
        <v>0</v>
      </c>
      <c r="AG327" s="64" t="s">
        <v>26</v>
      </c>
      <c r="AH327" s="64">
        <f t="shared" si="69"/>
        <v>0</v>
      </c>
      <c r="AI327" s="65">
        <f t="shared" si="70"/>
        <v>0</v>
      </c>
      <c r="AJ327" s="64" t="str">
        <f t="shared" si="71"/>
        <v/>
      </c>
      <c r="AK327" s="64" t="str">
        <f t="shared" ref="AK327:AK347" si="72">CONCATENATE(I327,N327)</f>
        <v/>
      </c>
      <c r="AL327" s="66"/>
    </row>
    <row r="328" spans="1:38" s="67" customFormat="1" ht="24" customHeight="1" x14ac:dyDescent="0.15">
      <c r="A328" s="330">
        <v>308</v>
      </c>
      <c r="B328" s="121"/>
      <c r="C328" s="331"/>
      <c r="D328" s="331"/>
      <c r="E328" s="122"/>
      <c r="F328" s="122"/>
      <c r="G328" s="122"/>
      <c r="H328" s="331"/>
      <c r="I328" s="331"/>
      <c r="J328" s="122"/>
      <c r="K328" s="122"/>
      <c r="L328" s="332"/>
      <c r="M328" s="205"/>
      <c r="N328" s="457"/>
      <c r="O328" s="341"/>
      <c r="P328" s="205"/>
      <c r="Q328" s="205"/>
      <c r="R328" s="205"/>
      <c r="S328" s="276"/>
      <c r="T328" s="64" t="s">
        <v>34</v>
      </c>
      <c r="U328" s="64">
        <f>COUNTIF(D321:D340,"제")</f>
        <v>0</v>
      </c>
      <c r="V328" s="65">
        <f>COUNTIF(I321:I340,"제")</f>
        <v>0</v>
      </c>
      <c r="W328" s="64" t="s">
        <v>26</v>
      </c>
      <c r="X328" s="64">
        <f>SUMIF(D321:D340,"제",F321:F340)</f>
        <v>0</v>
      </c>
      <c r="Y328" s="65">
        <f>SUMIF(I321:I340,"제",K321:K340)</f>
        <v>0</v>
      </c>
      <c r="Z328" s="64">
        <f>COUNTIF(AJ321:AJ340,"제국")+COUNTIF(AJ321:AJ340,"제공")</f>
        <v>0</v>
      </c>
      <c r="AA328" s="65">
        <f>COUNTIF(AK321:AK340,"제국")+COUNTIF(AK321:AK340,"제공")</f>
        <v>0</v>
      </c>
      <c r="AB328" s="64" t="s">
        <v>26</v>
      </c>
      <c r="AC328" s="64">
        <f>SUMIF(AJ321:AJ340,"제국",F321:F340)+SUMIF(AJ321:AJ340,"제공",F321:F340)</f>
        <v>0</v>
      </c>
      <c r="AD328" s="65">
        <f>SUMIF(AK321:AK340,"제국",K321:K340)+SUMIF(AK321:AK340,"제공",K321:K340)</f>
        <v>0</v>
      </c>
      <c r="AE328" s="64">
        <f t="shared" si="67"/>
        <v>0</v>
      </c>
      <c r="AF328" s="65">
        <f t="shared" si="68"/>
        <v>0</v>
      </c>
      <c r="AG328" s="64" t="s">
        <v>26</v>
      </c>
      <c r="AH328" s="64">
        <f t="shared" si="69"/>
        <v>0</v>
      </c>
      <c r="AI328" s="65">
        <f t="shared" si="70"/>
        <v>0</v>
      </c>
      <c r="AJ328" s="64" t="str">
        <f t="shared" si="71"/>
        <v/>
      </c>
      <c r="AK328" s="64" t="str">
        <f t="shared" si="72"/>
        <v/>
      </c>
      <c r="AL328" s="66"/>
    </row>
    <row r="329" spans="1:38" s="67" customFormat="1" ht="24" customHeight="1" x14ac:dyDescent="0.15">
      <c r="A329" s="330">
        <v>309</v>
      </c>
      <c r="B329" s="121"/>
      <c r="C329" s="331"/>
      <c r="D329" s="331"/>
      <c r="E329" s="122"/>
      <c r="F329" s="122"/>
      <c r="G329" s="122"/>
      <c r="H329" s="331"/>
      <c r="I329" s="331"/>
      <c r="J329" s="122"/>
      <c r="K329" s="122"/>
      <c r="L329" s="332"/>
      <c r="M329" s="205"/>
      <c r="N329" s="457"/>
      <c r="O329" s="341"/>
      <c r="P329" s="331"/>
      <c r="Q329" s="331"/>
      <c r="R329" s="331"/>
      <c r="S329" s="276"/>
      <c r="T329" s="64" t="s">
        <v>46</v>
      </c>
      <c r="U329" s="64">
        <f>COUNTIF(D321:D340,"유")</f>
        <v>0</v>
      </c>
      <c r="V329" s="65">
        <f>COUNTIF(I321:I340,"유")</f>
        <v>0</v>
      </c>
      <c r="W329" s="64" t="s">
        <v>26</v>
      </c>
      <c r="X329" s="64">
        <f>SUMIF(D321:D340,"유",F321:F340)</f>
        <v>0</v>
      </c>
      <c r="Y329" s="65">
        <f>SUMIF(I321:I340,"유",K321:K340)</f>
        <v>0</v>
      </c>
      <c r="Z329" s="64">
        <f>COUNTIF(AJ321:AJ340,"유국")+COUNTIF(AJ321:AJ340,"유공")</f>
        <v>0</v>
      </c>
      <c r="AA329" s="65">
        <f>COUNTIF(AK321:AK340,"유국")+COUNTIF(AK321:AK340,"유공")</f>
        <v>0</v>
      </c>
      <c r="AB329" s="64" t="s">
        <v>26</v>
      </c>
      <c r="AC329" s="64">
        <f>SUMIF(AJ321:AJ340,"유국",F321:F340)+SUMIF(AJ321:AJ340,"유공",F321:F340)</f>
        <v>0</v>
      </c>
      <c r="AD329" s="65">
        <f>SUMIF(AK321:AK340,"유국",K321:K340)+SUMIF(AK321:AK340,"유공",K321:K340)</f>
        <v>0</v>
      </c>
      <c r="AE329" s="64">
        <f t="shared" si="67"/>
        <v>0</v>
      </c>
      <c r="AF329" s="65">
        <f t="shared" si="68"/>
        <v>0</v>
      </c>
      <c r="AG329" s="64" t="s">
        <v>26</v>
      </c>
      <c r="AH329" s="64">
        <f t="shared" si="69"/>
        <v>0</v>
      </c>
      <c r="AI329" s="65">
        <f t="shared" si="70"/>
        <v>0</v>
      </c>
      <c r="AJ329" s="64" t="str">
        <f t="shared" si="71"/>
        <v/>
      </c>
      <c r="AK329" s="64" t="str">
        <f t="shared" si="72"/>
        <v/>
      </c>
      <c r="AL329" s="66"/>
    </row>
    <row r="330" spans="1:38" s="67" customFormat="1" ht="24" customHeight="1" x14ac:dyDescent="0.15">
      <c r="A330" s="330">
        <v>310</v>
      </c>
      <c r="B330" s="121"/>
      <c r="C330" s="331"/>
      <c r="D330" s="331"/>
      <c r="E330" s="122"/>
      <c r="F330" s="122"/>
      <c r="G330" s="122"/>
      <c r="H330" s="331"/>
      <c r="I330" s="331"/>
      <c r="J330" s="122"/>
      <c r="K330" s="122"/>
      <c r="L330" s="332"/>
      <c r="M330" s="205"/>
      <c r="N330" s="457"/>
      <c r="O330" s="341"/>
      <c r="P330" s="331"/>
      <c r="Q330" s="331"/>
      <c r="R330" s="331"/>
      <c r="S330" s="276"/>
      <c r="T330" s="64" t="s">
        <v>47</v>
      </c>
      <c r="U330" s="64">
        <f>COUNTIF(D321:D340,"과")</f>
        <v>0</v>
      </c>
      <c r="V330" s="65">
        <f>COUNTIF(I321:I340,"과")</f>
        <v>0</v>
      </c>
      <c r="W330" s="64" t="s">
        <v>26</v>
      </c>
      <c r="X330" s="64">
        <f>SUMIF(D321:D340,"과",F321:F340)</f>
        <v>0</v>
      </c>
      <c r="Y330" s="65">
        <f>SUMIF(I321:I340,"과",K321:K340)</f>
        <v>0</v>
      </c>
      <c r="Z330" s="64">
        <f>COUNTIF(AJ321:AJ340,"과국")+COUNTIF(AJ321:AJ340,"과공")</f>
        <v>0</v>
      </c>
      <c r="AA330" s="65">
        <f>COUNTIF(AK321:AK340,"과국")+COUNTIF(AK321:AK340,"과공")</f>
        <v>0</v>
      </c>
      <c r="AB330" s="64" t="s">
        <v>26</v>
      </c>
      <c r="AC330" s="64">
        <f>SUMIF(AJ321:AJ340,"과국",F321:F340)+SUMIF(AJ321:AJ340,"과공",F321:F340)</f>
        <v>0</v>
      </c>
      <c r="AD330" s="65">
        <f>SUMIF(AK321:AK340,"과국",K321:K340)+SUMIF(AK321:AK340,"과공",K321:K340)</f>
        <v>0</v>
      </c>
      <c r="AE330" s="64">
        <f t="shared" si="67"/>
        <v>0</v>
      </c>
      <c r="AF330" s="65">
        <f t="shared" si="68"/>
        <v>0</v>
      </c>
      <c r="AG330" s="64" t="s">
        <v>26</v>
      </c>
      <c r="AH330" s="64">
        <f t="shared" si="69"/>
        <v>0</v>
      </c>
      <c r="AI330" s="65">
        <f t="shared" si="70"/>
        <v>0</v>
      </c>
      <c r="AJ330" s="64" t="str">
        <f t="shared" si="71"/>
        <v/>
      </c>
      <c r="AK330" s="64" t="str">
        <f t="shared" si="72"/>
        <v/>
      </c>
      <c r="AL330" s="66"/>
    </row>
    <row r="331" spans="1:38" s="67" customFormat="1" ht="24" customHeight="1" x14ac:dyDescent="0.15">
      <c r="A331" s="330">
        <v>311</v>
      </c>
      <c r="B331" s="121"/>
      <c r="C331" s="331"/>
      <c r="D331" s="331"/>
      <c r="E331" s="122"/>
      <c r="F331" s="122"/>
      <c r="G331" s="122"/>
      <c r="H331" s="331"/>
      <c r="I331" s="331"/>
      <c r="J331" s="122"/>
      <c r="K331" s="122"/>
      <c r="L331" s="332"/>
      <c r="M331" s="205"/>
      <c r="N331" s="457"/>
      <c r="O331" s="341"/>
      <c r="P331" s="331"/>
      <c r="Q331" s="331"/>
      <c r="R331" s="331"/>
      <c r="S331" s="276"/>
      <c r="T331" s="64" t="s">
        <v>36</v>
      </c>
      <c r="U331" s="64">
        <f>COUNTIF(D321:D340,"묘")</f>
        <v>0</v>
      </c>
      <c r="V331" s="65">
        <f>COUNTIF(I321:I340,"묘")</f>
        <v>0</v>
      </c>
      <c r="W331" s="64" t="s">
        <v>26</v>
      </c>
      <c r="X331" s="64">
        <f>SUMIF(D321:D340,"묘",F321:F340)</f>
        <v>0</v>
      </c>
      <c r="Y331" s="65">
        <f>SUMIF(I321:I340,"묘",K321:K340)</f>
        <v>0</v>
      </c>
      <c r="Z331" s="64">
        <f>COUNTIF(AJ321:AJ340,"묘국")+COUNTIF(AJ321:AJ340,"묘공")</f>
        <v>0</v>
      </c>
      <c r="AA331" s="65">
        <f>COUNTIF(AK321:AK340,"묘국")+COUNTIF(AK321:AK340,"묘공")</f>
        <v>0</v>
      </c>
      <c r="AB331" s="64" t="s">
        <v>26</v>
      </c>
      <c r="AC331" s="64">
        <f>SUMIF(AJ321:AJ340,"묘국",F321:F340)+SUMIF(AJ321:AJ340,"묘공",F321:F340)</f>
        <v>0</v>
      </c>
      <c r="AD331" s="65">
        <f>SUMIF(AK321:AK340,"묘국",K321:K340)+SUMIF(AK321:AK340,"묘공",K321:K340)</f>
        <v>0</v>
      </c>
      <c r="AE331" s="64">
        <f t="shared" si="67"/>
        <v>0</v>
      </c>
      <c r="AF331" s="65">
        <f t="shared" si="68"/>
        <v>0</v>
      </c>
      <c r="AG331" s="64" t="s">
        <v>26</v>
      </c>
      <c r="AH331" s="64">
        <f t="shared" si="69"/>
        <v>0</v>
      </c>
      <c r="AI331" s="65">
        <f t="shared" si="70"/>
        <v>0</v>
      </c>
      <c r="AJ331" s="64" t="str">
        <f t="shared" si="71"/>
        <v/>
      </c>
      <c r="AK331" s="64" t="str">
        <f t="shared" si="72"/>
        <v/>
      </c>
      <c r="AL331" s="66"/>
    </row>
    <row r="332" spans="1:38" s="67" customFormat="1" ht="24" customHeight="1" x14ac:dyDescent="0.15">
      <c r="A332" s="330">
        <v>312</v>
      </c>
      <c r="B332" s="121"/>
      <c r="C332" s="331"/>
      <c r="D332" s="331"/>
      <c r="E332" s="122"/>
      <c r="F332" s="122"/>
      <c r="G332" s="122"/>
      <c r="H332" s="331"/>
      <c r="I332" s="331"/>
      <c r="J332" s="122"/>
      <c r="K332" s="122"/>
      <c r="L332" s="332"/>
      <c r="M332" s="205"/>
      <c r="N332" s="457"/>
      <c r="O332" s="341"/>
      <c r="P332" s="331"/>
      <c r="Q332" s="331"/>
      <c r="R332" s="331"/>
      <c r="S332" s="276"/>
      <c r="T332" s="64" t="s">
        <v>39</v>
      </c>
      <c r="U332" s="64">
        <f>COUNTIF(D321:D340,"수")</f>
        <v>0</v>
      </c>
      <c r="V332" s="65">
        <f>COUNTIF(I321:I340,"수")</f>
        <v>0</v>
      </c>
      <c r="W332" s="64" t="s">
        <v>26</v>
      </c>
      <c r="X332" s="64">
        <f>SUMIF(D321:D340,"수",F321:F340)</f>
        <v>0</v>
      </c>
      <c r="Y332" s="65">
        <f>SUMIF(I321:I340,"수",K321:K340)</f>
        <v>0</v>
      </c>
      <c r="Z332" s="64">
        <f>COUNTIF(AJ321:AJ340,"수국")+COUNTIF(AJ321:AJ340,"수공")</f>
        <v>0</v>
      </c>
      <c r="AA332" s="65">
        <f>COUNTIF(AK321:AK340,"수국")+COUNTIF(AK321:AK340,"수공")</f>
        <v>0</v>
      </c>
      <c r="AB332" s="64" t="s">
        <v>26</v>
      </c>
      <c r="AC332" s="64">
        <f>SUMIF(AJ321:AJ340,"수국",F321:F340)+SUMIF(AJ321:AJ340,"수공",F321:F340)</f>
        <v>0</v>
      </c>
      <c r="AD332" s="65">
        <f>SUMIF(AK321:AK340,"수국",K321:K340)+SUMIF(AK321:AK340,"수공",K321:K340)</f>
        <v>0</v>
      </c>
      <c r="AE332" s="64">
        <f t="shared" si="67"/>
        <v>0</v>
      </c>
      <c r="AF332" s="65">
        <f t="shared" si="68"/>
        <v>0</v>
      </c>
      <c r="AG332" s="64" t="s">
        <v>26</v>
      </c>
      <c r="AH332" s="64">
        <f t="shared" si="69"/>
        <v>0</v>
      </c>
      <c r="AI332" s="65">
        <f t="shared" si="70"/>
        <v>0</v>
      </c>
      <c r="AJ332" s="64" t="str">
        <f t="shared" si="71"/>
        <v/>
      </c>
      <c r="AK332" s="64" t="str">
        <f t="shared" si="72"/>
        <v/>
      </c>
      <c r="AL332" s="66"/>
    </row>
    <row r="333" spans="1:38" s="67" customFormat="1" ht="24" customHeight="1" x14ac:dyDescent="0.15">
      <c r="A333" s="330">
        <v>313</v>
      </c>
      <c r="B333" s="121"/>
      <c r="C333" s="331"/>
      <c r="D333" s="331"/>
      <c r="E333" s="122"/>
      <c r="F333" s="122"/>
      <c r="G333" s="122"/>
      <c r="H333" s="331"/>
      <c r="I333" s="331"/>
      <c r="J333" s="122"/>
      <c r="K333" s="122"/>
      <c r="L333" s="332"/>
      <c r="M333" s="471"/>
      <c r="N333" s="457"/>
      <c r="O333" s="341"/>
      <c r="P333" s="331"/>
      <c r="Q333" s="331"/>
      <c r="R333" s="331"/>
      <c r="S333" s="276"/>
      <c r="T333" s="64" t="s">
        <v>35</v>
      </c>
      <c r="U333" s="64">
        <f>COUNTIF(D321:D340,"잡")</f>
        <v>0</v>
      </c>
      <c r="V333" s="65">
        <f>COUNTIF(I321:I340,"잡")</f>
        <v>0</v>
      </c>
      <c r="W333" s="64" t="s">
        <v>26</v>
      </c>
      <c r="X333" s="64">
        <f>SUMIF(D321:D340,"잡",F321:F340)</f>
        <v>0</v>
      </c>
      <c r="Y333" s="65">
        <f>SUMIF(I321:I340,"잡",K321:K340)</f>
        <v>0</v>
      </c>
      <c r="Z333" s="64">
        <f>COUNTIF(AJ321:AJ340,"잡국")+COUNTIF(AJ321:AJ340,"잡공")</f>
        <v>0</v>
      </c>
      <c r="AA333" s="65">
        <f>COUNTIF(AK321:AK340,"잡국")+COUNTIF(AK321:AK340,"잡공")</f>
        <v>0</v>
      </c>
      <c r="AB333" s="64" t="s">
        <v>26</v>
      </c>
      <c r="AC333" s="64">
        <f>SUMIF(AJ321:AJ340,"잡국",F321:F340)+SUMIF(AJ321:AJ340,"잡공",F321:F340)</f>
        <v>0</v>
      </c>
      <c r="AD333" s="65">
        <f>SUMIF(AK321:AK340,"잡국",K321:K340)+SUMIF(AK321:AK340,"잡공",K321:K340)</f>
        <v>0</v>
      </c>
      <c r="AE333" s="64">
        <f t="shared" si="67"/>
        <v>0</v>
      </c>
      <c r="AF333" s="65">
        <f t="shared" si="68"/>
        <v>0</v>
      </c>
      <c r="AG333" s="64" t="s">
        <v>26</v>
      </c>
      <c r="AH333" s="64">
        <f t="shared" si="69"/>
        <v>0</v>
      </c>
      <c r="AI333" s="65">
        <f t="shared" si="70"/>
        <v>0</v>
      </c>
      <c r="AJ333" s="64" t="str">
        <f t="shared" si="71"/>
        <v/>
      </c>
      <c r="AK333" s="64" t="str">
        <f t="shared" si="72"/>
        <v/>
      </c>
      <c r="AL333" s="66"/>
    </row>
    <row r="334" spans="1:38" s="67" customFormat="1" ht="24" customHeight="1" x14ac:dyDescent="0.15">
      <c r="A334" s="330">
        <v>314</v>
      </c>
      <c r="B334" s="121"/>
      <c r="C334" s="331"/>
      <c r="D334" s="331"/>
      <c r="E334" s="122"/>
      <c r="F334" s="122"/>
      <c r="G334" s="122"/>
      <c r="H334" s="331"/>
      <c r="I334" s="331"/>
      <c r="J334" s="122"/>
      <c r="K334" s="122"/>
      <c r="L334" s="332"/>
      <c r="M334" s="205"/>
      <c r="N334" s="457"/>
      <c r="O334" s="341"/>
      <c r="P334" s="331"/>
      <c r="Q334" s="331"/>
      <c r="R334" s="331"/>
      <c r="S334" s="276"/>
      <c r="T334" s="64" t="s">
        <v>195</v>
      </c>
      <c r="U334" s="64">
        <f>COUNTIF(D321:D340,"창")</f>
        <v>0</v>
      </c>
      <c r="V334" s="65">
        <f>COUNTIF(I321:I340,"창")</f>
        <v>0</v>
      </c>
      <c r="W334" s="64" t="s">
        <v>26</v>
      </c>
      <c r="X334" s="64">
        <f>SUMIF(D321:D340,"창",F321:F340)</f>
        <v>0</v>
      </c>
      <c r="Y334" s="65">
        <f>SUMIF(I321:I340,"창",K321:K340)</f>
        <v>0</v>
      </c>
      <c r="Z334" s="64">
        <f>COUNTIF(AJ321:AJ340,"창국")+COUNTIF(AJ321:AJ340,"창공")</f>
        <v>0</v>
      </c>
      <c r="AA334" s="65">
        <f>COUNTIF(AK321:AK340,"창국")+COUNTIF(AK321:AK340,"창공")</f>
        <v>0</v>
      </c>
      <c r="AB334" s="64" t="s">
        <v>26</v>
      </c>
      <c r="AC334" s="64">
        <f>SUMIF(AJ321:AJ340,"창국",F321:F340)+SUMIF(AJ321:AJ340,"창공",F321:F340)</f>
        <v>0</v>
      </c>
      <c r="AD334" s="65">
        <f>SUMIF(AK321:AK340,"창국",K321:K340)+SUMIF(AK321:AK340,"창공",K321:K340)</f>
        <v>0</v>
      </c>
      <c r="AE334" s="64">
        <f t="shared" si="67"/>
        <v>0</v>
      </c>
      <c r="AF334" s="65">
        <f t="shared" si="68"/>
        <v>0</v>
      </c>
      <c r="AG334" s="64" t="s">
        <v>26</v>
      </c>
      <c r="AH334" s="64">
        <f t="shared" si="69"/>
        <v>0</v>
      </c>
      <c r="AI334" s="65">
        <f t="shared" si="70"/>
        <v>0</v>
      </c>
      <c r="AJ334" s="64" t="str">
        <f t="shared" si="71"/>
        <v/>
      </c>
      <c r="AK334" s="64" t="str">
        <f t="shared" si="72"/>
        <v/>
      </c>
      <c r="AL334" s="66"/>
    </row>
    <row r="335" spans="1:38" s="67" customFormat="1" ht="24" customHeight="1" x14ac:dyDescent="0.15">
      <c r="A335" s="330">
        <v>315</v>
      </c>
      <c r="B335" s="331"/>
      <c r="C335" s="331"/>
      <c r="D335" s="331"/>
      <c r="E335" s="122"/>
      <c r="F335" s="122"/>
      <c r="G335" s="122"/>
      <c r="H335" s="331"/>
      <c r="I335" s="331"/>
      <c r="J335" s="122"/>
      <c r="K335" s="122"/>
      <c r="L335" s="332"/>
      <c r="M335" s="205"/>
      <c r="N335" s="457"/>
      <c r="O335" s="341"/>
      <c r="P335" s="331"/>
      <c r="Q335" s="331"/>
      <c r="R335" s="331"/>
      <c r="S335" s="276"/>
      <c r="T335" s="64" t="s">
        <v>194</v>
      </c>
      <c r="U335" s="64">
        <f>COUNTIF(D321:D340,"장")</f>
        <v>0</v>
      </c>
      <c r="V335" s="65">
        <f>COUNTIF(I321:I340,"장")</f>
        <v>0</v>
      </c>
      <c r="W335" s="64" t="s">
        <v>26</v>
      </c>
      <c r="X335" s="64">
        <f>SUMIF(D321:D340,"장",F321:F340)</f>
        <v>0</v>
      </c>
      <c r="Y335" s="65">
        <f>SUMIF(I321:I340,"장",K321:K340)</f>
        <v>0</v>
      </c>
      <c r="Z335" s="64">
        <f>COUNTIF(AJ321:AJ340,"장국")+COUNTIF(AJ321:AJ340,"장장")</f>
        <v>0</v>
      </c>
      <c r="AA335" s="65">
        <f>COUNTIF(AK321:AK340,"장국")+COUNTIF(AK321:AK340,"장장")</f>
        <v>0</v>
      </c>
      <c r="AB335" s="64" t="s">
        <v>26</v>
      </c>
      <c r="AC335" s="64">
        <f>SUMIF(AJ321:AJ340,"장국",F321:F340)+SUMIF(AJ321:AJ340,"장장",F321:F340)</f>
        <v>0</v>
      </c>
      <c r="AD335" s="65">
        <f>SUMIF(AK321:AK340,"장국",K321:K340)+SUMIF(AK321:AK340,"장장",K321:K340)</f>
        <v>0</v>
      </c>
      <c r="AE335" s="64">
        <f t="shared" si="67"/>
        <v>0</v>
      </c>
      <c r="AF335" s="65">
        <f t="shared" si="68"/>
        <v>0</v>
      </c>
      <c r="AG335" s="64" t="s">
        <v>26</v>
      </c>
      <c r="AH335" s="64">
        <f t="shared" si="69"/>
        <v>0</v>
      </c>
      <c r="AI335" s="65">
        <f t="shared" si="70"/>
        <v>0</v>
      </c>
      <c r="AJ335" s="64" t="str">
        <f t="shared" si="71"/>
        <v/>
      </c>
      <c r="AK335" s="64" t="str">
        <f t="shared" si="72"/>
        <v/>
      </c>
      <c r="AL335" s="66"/>
    </row>
    <row r="336" spans="1:38" s="67" customFormat="1" ht="24" customHeight="1" x14ac:dyDescent="0.15">
      <c r="A336" s="330">
        <v>316</v>
      </c>
      <c r="B336" s="331"/>
      <c r="C336" s="331"/>
      <c r="D336" s="331"/>
      <c r="E336" s="122"/>
      <c r="F336" s="122"/>
      <c r="G336" s="122"/>
      <c r="H336" s="331"/>
      <c r="I336" s="331"/>
      <c r="J336" s="122"/>
      <c r="K336" s="122"/>
      <c r="L336" s="332"/>
      <c r="M336" s="205"/>
      <c r="N336" s="457"/>
      <c r="O336" s="341"/>
      <c r="P336" s="331"/>
      <c r="Q336" s="331"/>
      <c r="R336" s="331"/>
      <c r="S336" s="276"/>
      <c r="T336" s="70" t="s">
        <v>193</v>
      </c>
      <c r="U336" s="64">
        <f>COUNTIF(D321:D340,"학")</f>
        <v>0</v>
      </c>
      <c r="V336" s="65">
        <f>COUNTIF(I321:I340,"학")</f>
        <v>0</v>
      </c>
      <c r="W336" s="64" t="s">
        <v>26</v>
      </c>
      <c r="X336" s="64">
        <f>SUMIF(D321:D340,"학",F321:F340)</f>
        <v>0</v>
      </c>
      <c r="Y336" s="65">
        <f>SUMIF(I321:I340,"학",K321:K340)</f>
        <v>0</v>
      </c>
      <c r="Z336" s="64">
        <f>COUNTIF(AJ321:AJ340,"학국")+COUNTIF(AJ321:AJ340,"학공")</f>
        <v>0</v>
      </c>
      <c r="AA336" s="65">
        <f>COUNTIF(AK321:AK340,"학국")+COUNTIF(AK321:AK340,"학공")</f>
        <v>0</v>
      </c>
      <c r="AB336" s="64" t="s">
        <v>26</v>
      </c>
      <c r="AC336" s="64">
        <f>SUMIF(AJ321:AJ340,"학국",F321:F340)+SUMIF(AJ321:AJ340,"학공",F321:F340)</f>
        <v>0</v>
      </c>
      <c r="AD336" s="65">
        <f>SUMIF(AK321:AK340,"학국",K321:K340)+SUMIF(AK321:AK340,"학공",K321:K340)</f>
        <v>0</v>
      </c>
      <c r="AE336" s="64">
        <f t="shared" si="67"/>
        <v>0</v>
      </c>
      <c r="AF336" s="65">
        <f t="shared" si="68"/>
        <v>0</v>
      </c>
      <c r="AG336" s="64" t="s">
        <v>26</v>
      </c>
      <c r="AH336" s="64">
        <f t="shared" si="69"/>
        <v>0</v>
      </c>
      <c r="AI336" s="65">
        <f t="shared" si="70"/>
        <v>0</v>
      </c>
      <c r="AJ336" s="64" t="str">
        <f t="shared" si="71"/>
        <v/>
      </c>
      <c r="AK336" s="64" t="str">
        <f t="shared" si="72"/>
        <v/>
      </c>
      <c r="AL336" s="66"/>
    </row>
    <row r="337" spans="1:38" s="67" customFormat="1" ht="24" customHeight="1" x14ac:dyDescent="0.15">
      <c r="A337" s="330">
        <v>317</v>
      </c>
      <c r="B337" s="331"/>
      <c r="C337" s="331"/>
      <c r="D337" s="331"/>
      <c r="E337" s="122"/>
      <c r="F337" s="122"/>
      <c r="G337" s="122"/>
      <c r="H337" s="331"/>
      <c r="I337" s="331"/>
      <c r="J337" s="122"/>
      <c r="K337" s="122"/>
      <c r="L337" s="332"/>
      <c r="M337" s="205"/>
      <c r="N337" s="457"/>
      <c r="O337" s="341"/>
      <c r="P337" s="331"/>
      <c r="Q337" s="331"/>
      <c r="R337" s="331"/>
      <c r="S337" s="276"/>
      <c r="T337" s="70" t="s">
        <v>5</v>
      </c>
      <c r="U337" s="64">
        <f>COUNTIF(D321:D340,"목")</f>
        <v>0</v>
      </c>
      <c r="V337" s="65">
        <f>COUNTIF(I321:I340,"목")</f>
        <v>0</v>
      </c>
      <c r="W337" s="64" t="s">
        <v>26</v>
      </c>
      <c r="X337" s="64">
        <f>SUMIF(D321:D340,"목",F321:F340)</f>
        <v>0</v>
      </c>
      <c r="Y337" s="65">
        <f>SUMIF(I321:I340,"목",K321:K340)</f>
        <v>0</v>
      </c>
      <c r="Z337" s="64">
        <f>COUNTIF(AJ321:AJ340,"목국")+COUNTIF(AJ321:AJ340,"목공")</f>
        <v>0</v>
      </c>
      <c r="AA337" s="65">
        <f>COUNTIF(AK321:AK340,"목국")+COUNTIF(AK321:AK340,"목공")</f>
        <v>0</v>
      </c>
      <c r="AB337" s="64" t="s">
        <v>26</v>
      </c>
      <c r="AC337" s="64">
        <f>SUMIF(AJ321:AJ340,"목국",F321:F340)+SUMIF(AJ321:AJ340,"목공",F321:F340)</f>
        <v>0</v>
      </c>
      <c r="AD337" s="65">
        <f>SUMIF(AK321:AK340,"목국",K321:K340)+SUMIF(AK321:AK340,"목공",K321:K340)</f>
        <v>0</v>
      </c>
      <c r="AE337" s="64">
        <f t="shared" si="67"/>
        <v>0</v>
      </c>
      <c r="AF337" s="65">
        <f t="shared" si="68"/>
        <v>0</v>
      </c>
      <c r="AG337" s="64" t="s">
        <v>26</v>
      </c>
      <c r="AH337" s="64">
        <f t="shared" si="69"/>
        <v>0</v>
      </c>
      <c r="AI337" s="65">
        <f t="shared" si="70"/>
        <v>0</v>
      </c>
      <c r="AJ337" s="64" t="str">
        <f t="shared" si="71"/>
        <v/>
      </c>
      <c r="AK337" s="64" t="str">
        <f t="shared" si="72"/>
        <v/>
      </c>
      <c r="AL337" s="66"/>
    </row>
    <row r="338" spans="1:38" s="67" customFormat="1" ht="24" customHeight="1" x14ac:dyDescent="0.15">
      <c r="A338" s="330">
        <v>318</v>
      </c>
      <c r="B338" s="331"/>
      <c r="C338" s="331"/>
      <c r="D338" s="331"/>
      <c r="E338" s="122"/>
      <c r="F338" s="122"/>
      <c r="G338" s="122"/>
      <c r="H338" s="331"/>
      <c r="I338" s="331"/>
      <c r="J338" s="122"/>
      <c r="K338" s="122"/>
      <c r="L338" s="332"/>
      <c r="M338" s="205"/>
      <c r="N338" s="457"/>
      <c r="O338" s="341"/>
      <c r="P338" s="331"/>
      <c r="Q338" s="331"/>
      <c r="R338" s="331"/>
      <c r="S338" s="276"/>
      <c r="T338" s="70"/>
      <c r="U338" s="70"/>
      <c r="V338" s="71"/>
      <c r="W338" s="70"/>
      <c r="X338" s="70"/>
      <c r="Y338" s="71"/>
      <c r="Z338" s="64"/>
      <c r="AA338" s="65"/>
      <c r="AB338" s="70"/>
      <c r="AC338" s="64"/>
      <c r="AD338" s="65"/>
      <c r="AE338" s="70"/>
      <c r="AF338" s="71"/>
      <c r="AG338" s="70"/>
      <c r="AH338" s="70"/>
      <c r="AI338" s="71"/>
      <c r="AJ338" s="64" t="str">
        <f t="shared" si="71"/>
        <v/>
      </c>
      <c r="AK338" s="64" t="str">
        <f t="shared" si="72"/>
        <v/>
      </c>
      <c r="AL338" s="66"/>
    </row>
    <row r="339" spans="1:38" s="67" customFormat="1" ht="24" customHeight="1" x14ac:dyDescent="0.15">
      <c r="A339" s="330">
        <v>319</v>
      </c>
      <c r="B339" s="331"/>
      <c r="C339" s="331"/>
      <c r="D339" s="331"/>
      <c r="E339" s="122"/>
      <c r="F339" s="122"/>
      <c r="G339" s="122"/>
      <c r="H339" s="331"/>
      <c r="I339" s="331"/>
      <c r="J339" s="122"/>
      <c r="K339" s="122"/>
      <c r="L339" s="332"/>
      <c r="M339" s="205"/>
      <c r="N339" s="457"/>
      <c r="O339" s="341"/>
      <c r="P339" s="331"/>
      <c r="Q339" s="331"/>
      <c r="R339" s="331"/>
      <c r="S339" s="276"/>
      <c r="T339" s="70"/>
      <c r="U339" s="70"/>
      <c r="V339" s="71"/>
      <c r="W339" s="70"/>
      <c r="X339" s="70"/>
      <c r="Y339" s="71"/>
      <c r="Z339" s="64"/>
      <c r="AA339" s="65"/>
      <c r="AB339" s="70"/>
      <c r="AC339" s="64"/>
      <c r="AD339" s="65"/>
      <c r="AE339" s="70"/>
      <c r="AF339" s="71"/>
      <c r="AG339" s="70"/>
      <c r="AH339" s="70"/>
      <c r="AI339" s="71"/>
      <c r="AJ339" s="64" t="str">
        <f t="shared" si="71"/>
        <v/>
      </c>
      <c r="AK339" s="64" t="str">
        <f t="shared" si="72"/>
        <v/>
      </c>
      <c r="AL339" s="66"/>
    </row>
    <row r="340" spans="1:38" s="67" customFormat="1" ht="24" customHeight="1" x14ac:dyDescent="0.15">
      <c r="A340" s="379">
        <v>320</v>
      </c>
      <c r="B340" s="331"/>
      <c r="C340" s="380"/>
      <c r="D340" s="380"/>
      <c r="E340" s="381"/>
      <c r="F340" s="381"/>
      <c r="G340" s="381"/>
      <c r="H340" s="380"/>
      <c r="I340" s="380"/>
      <c r="J340" s="381"/>
      <c r="K340" s="381"/>
      <c r="L340" s="382"/>
      <c r="M340" s="383"/>
      <c r="N340" s="458"/>
      <c r="O340" s="459"/>
      <c r="P340" s="380"/>
      <c r="Q340" s="380"/>
      <c r="R340" s="380"/>
      <c r="S340" s="384"/>
      <c r="T340" s="72" t="s">
        <v>37</v>
      </c>
      <c r="U340" s="72">
        <f>COUNTIF(D321:D340,"철")</f>
        <v>0</v>
      </c>
      <c r="V340" s="73">
        <f>COUNTIF(I321:I340,"철")</f>
        <v>0</v>
      </c>
      <c r="W340" s="72" t="s">
        <v>26</v>
      </c>
      <c r="X340" s="72">
        <f>SUMIF(D321:D340,"철",F321:F340)</f>
        <v>0</v>
      </c>
      <c r="Y340" s="73">
        <f>SUMIF(I321:I340,"철",K321:K340)</f>
        <v>0</v>
      </c>
      <c r="Z340" s="64">
        <f>COUNTIF(AJ321:AJ340,"철국")+COUNTIF(AJ321:AJ340,"철공")</f>
        <v>0</v>
      </c>
      <c r="AA340" s="65">
        <f>COUNTIF(AK321:AK340,"철국")+COUNTIF(AK321:AK340,"철공")</f>
        <v>0</v>
      </c>
      <c r="AB340" s="72" t="s">
        <v>26</v>
      </c>
      <c r="AC340" s="64">
        <f>SUMIF(AJ321:AJ340,"철국",F321:F340)+SUMIF(AJ321:AJ340,"철공",F321:F340)</f>
        <v>0</v>
      </c>
      <c r="AD340" s="65">
        <f>SUMIF(AK321:AK340,"철국",K321:K340)+SUMIF(AK321:AK340,"철공",K321:K340)</f>
        <v>0</v>
      </c>
      <c r="AE340" s="72"/>
      <c r="AF340" s="73"/>
      <c r="AG340" s="72"/>
      <c r="AH340" s="72"/>
      <c r="AI340" s="73"/>
      <c r="AJ340" s="64" t="str">
        <f t="shared" si="71"/>
        <v/>
      </c>
      <c r="AK340" s="64" t="str">
        <f t="shared" si="72"/>
        <v/>
      </c>
      <c r="AL340" s="66"/>
    </row>
    <row r="341" spans="1:38" s="67" customFormat="1" ht="24" customHeight="1" thickBot="1" x14ac:dyDescent="0.2">
      <c r="A341" s="147" t="s">
        <v>48</v>
      </c>
      <c r="B341" s="148"/>
      <c r="C341" s="178"/>
      <c r="D341" s="178"/>
      <c r="E341" s="293"/>
      <c r="F341" s="325">
        <f>SUM(F321:F340)</f>
        <v>0</v>
      </c>
      <c r="G341" s="295"/>
      <c r="H341" s="295"/>
      <c r="I341" s="296"/>
      <c r="J341" s="297"/>
      <c r="K341" s="326">
        <f>SUM(K321:K340)</f>
        <v>0</v>
      </c>
      <c r="L341" s="150"/>
      <c r="M341" s="150"/>
      <c r="N341" s="432"/>
      <c r="O341" s="432"/>
      <c r="P341" s="150"/>
      <c r="Q341" s="150"/>
      <c r="R341" s="150"/>
      <c r="S341" s="151"/>
      <c r="T341" s="62" t="s">
        <v>24</v>
      </c>
      <c r="U341" s="63">
        <f t="shared" ref="U341:AA341" si="73">SUM(U321:U340)</f>
        <v>0</v>
      </c>
      <c r="V341" s="63">
        <f t="shared" si="73"/>
        <v>0</v>
      </c>
      <c r="W341" s="63">
        <f t="shared" si="73"/>
        <v>0</v>
      </c>
      <c r="X341" s="63">
        <f t="shared" si="73"/>
        <v>0</v>
      </c>
      <c r="Y341" s="63">
        <f t="shared" si="73"/>
        <v>0</v>
      </c>
      <c r="Z341" s="277">
        <f t="shared" si="73"/>
        <v>0</v>
      </c>
      <c r="AA341" s="278">
        <f t="shared" si="73"/>
        <v>0</v>
      </c>
      <c r="AB341" s="277" t="s">
        <v>26</v>
      </c>
      <c r="AC341" s="277">
        <f>SUM(AC321:AC340)</f>
        <v>0</v>
      </c>
      <c r="AD341" s="278">
        <f>SUM(AD321:AD340)</f>
        <v>0</v>
      </c>
      <c r="AE341" s="63">
        <f>SUM(AE321:AE340)</f>
        <v>0</v>
      </c>
      <c r="AF341" s="63">
        <f>SUM(AF321:AF340)</f>
        <v>0</v>
      </c>
      <c r="AG341" s="63" t="s">
        <v>26</v>
      </c>
      <c r="AH341" s="63">
        <f>SUM(AH321:AH340)</f>
        <v>0</v>
      </c>
      <c r="AI341" s="63">
        <f>SUM(AI321:AI340)</f>
        <v>0</v>
      </c>
      <c r="AJ341" s="63"/>
      <c r="AK341" s="64" t="str">
        <f t="shared" si="72"/>
        <v/>
      </c>
      <c r="AL341" s="66"/>
    </row>
    <row r="342" spans="1:38" s="67" customFormat="1" ht="24" customHeight="1" x14ac:dyDescent="0.15">
      <c r="A342" s="388">
        <v>321</v>
      </c>
      <c r="B342" s="215"/>
      <c r="C342" s="335"/>
      <c r="D342" s="389"/>
      <c r="E342" s="336"/>
      <c r="F342" s="336"/>
      <c r="G342" s="336"/>
      <c r="H342" s="389"/>
      <c r="I342" s="335"/>
      <c r="J342" s="336"/>
      <c r="K342" s="336"/>
      <c r="L342" s="390"/>
      <c r="M342" s="335"/>
      <c r="N342" s="460"/>
      <c r="O342" s="337"/>
      <c r="P342" s="335"/>
      <c r="Q342" s="335"/>
      <c r="R342" s="335"/>
      <c r="S342" s="391"/>
      <c r="T342" s="64" t="s">
        <v>27</v>
      </c>
      <c r="U342" s="64">
        <f>COUNTIF(D342:D361,"전")</f>
        <v>0</v>
      </c>
      <c r="V342" s="65">
        <f>COUNTIF(I342:I361,"전")</f>
        <v>0</v>
      </c>
      <c r="W342" s="64" t="s">
        <v>26</v>
      </c>
      <c r="X342" s="64">
        <f>SUMIF(D342:D361,"전",F342:F361)</f>
        <v>0</v>
      </c>
      <c r="Y342" s="65">
        <f>SUMIF(I342:I361,"전",K342:K361)</f>
        <v>0</v>
      </c>
      <c r="Z342" s="64">
        <f>COUNTIF(AJ342:AJ361,"전국")+COUNTIF(AJ342:AJ361,"전공")</f>
        <v>0</v>
      </c>
      <c r="AA342" s="65">
        <f>COUNTIF(AK342:AK361,"전국")+COUNTIF(AK342:AK361,"전공")</f>
        <v>0</v>
      </c>
      <c r="AB342" s="64" t="s">
        <v>26</v>
      </c>
      <c r="AC342" s="64">
        <f>SUMIF(AJ342:AJ361,"전국",F342:F361)+SUMIF(AJ342:AJ361,"전공",F342:F361)</f>
        <v>0</v>
      </c>
      <c r="AD342" s="65">
        <f>SUMIF(AK342:AK361,"전국",K342:K361)+SUMIF(AK342:AK361,"전공",K342:K361)</f>
        <v>0</v>
      </c>
      <c r="AE342" s="64">
        <f t="shared" ref="AE342:AE358" si="74">U342-Z342</f>
        <v>0</v>
      </c>
      <c r="AF342" s="65">
        <f t="shared" ref="AF342:AF358" si="75">V342-AA342</f>
        <v>0</v>
      </c>
      <c r="AG342" s="64" t="s">
        <v>26</v>
      </c>
      <c r="AH342" s="64">
        <f t="shared" ref="AH342:AH358" si="76">X342-AC342</f>
        <v>0</v>
      </c>
      <c r="AI342" s="65">
        <f t="shared" ref="AI342:AI358" si="77">Y342-AD342</f>
        <v>0</v>
      </c>
      <c r="AJ342" s="64" t="str">
        <f t="shared" ref="AJ342:AJ361" si="78">CONCATENATE(D342,L342)</f>
        <v/>
      </c>
      <c r="AK342" s="64" t="str">
        <f t="shared" si="72"/>
        <v/>
      </c>
      <c r="AL342" s="66"/>
    </row>
    <row r="343" spans="1:38" s="67" customFormat="1" ht="24" customHeight="1" x14ac:dyDescent="0.15">
      <c r="A343" s="330">
        <v>322</v>
      </c>
      <c r="B343" s="121"/>
      <c r="C343" s="205"/>
      <c r="D343" s="331"/>
      <c r="E343" s="122"/>
      <c r="F343" s="122"/>
      <c r="G343" s="122"/>
      <c r="H343" s="331"/>
      <c r="I343" s="205"/>
      <c r="J343" s="122"/>
      <c r="K343" s="122"/>
      <c r="L343" s="333"/>
      <c r="M343" s="205"/>
      <c r="N343" s="436"/>
      <c r="O343" s="341"/>
      <c r="P343" s="205"/>
      <c r="Q343" s="205"/>
      <c r="R343" s="205"/>
      <c r="S343" s="276"/>
      <c r="T343" s="64" t="s">
        <v>28</v>
      </c>
      <c r="U343" s="64">
        <f>COUNTIF(D342:D361,"답")</f>
        <v>0</v>
      </c>
      <c r="V343" s="65">
        <f>COUNTIF(I342:I361,"답")</f>
        <v>0</v>
      </c>
      <c r="W343" s="64" t="s">
        <v>26</v>
      </c>
      <c r="X343" s="64">
        <f>SUMIF(D342:D361,"답",F342:F361)</f>
        <v>0</v>
      </c>
      <c r="Y343" s="65">
        <f>SUMIF(I342:I361,"답",K342:K361)</f>
        <v>0</v>
      </c>
      <c r="Z343" s="64">
        <f>COUNTIF(AJ342:AJ361,"답국")+COUNTIF(AJ342:AJ361,"답공")</f>
        <v>0</v>
      </c>
      <c r="AA343" s="65">
        <f>COUNTIF(AK342:AK361,"답국")+COUNTIF(AK342:AK361,"답공")</f>
        <v>0</v>
      </c>
      <c r="AB343" s="64" t="s">
        <v>26</v>
      </c>
      <c r="AC343" s="64">
        <f>SUMIF(AJ342:AJ361,"답국",F342:F361)+SUMIF(AJ342:AJ361,"답공",F342:F361)</f>
        <v>0</v>
      </c>
      <c r="AD343" s="65">
        <f>SUMIF(AK342:AK361,"답국",K342:K361)+SUMIF(AK342:AK361,"답공",K342:K361)</f>
        <v>0</v>
      </c>
      <c r="AE343" s="64">
        <f t="shared" si="74"/>
        <v>0</v>
      </c>
      <c r="AF343" s="65">
        <f t="shared" si="75"/>
        <v>0</v>
      </c>
      <c r="AG343" s="64" t="s">
        <v>26</v>
      </c>
      <c r="AH343" s="64">
        <f t="shared" si="76"/>
        <v>0</v>
      </c>
      <c r="AI343" s="65">
        <f t="shared" si="77"/>
        <v>0</v>
      </c>
      <c r="AJ343" s="64" t="str">
        <f t="shared" si="78"/>
        <v/>
      </c>
      <c r="AK343" s="64" t="str">
        <f t="shared" si="72"/>
        <v/>
      </c>
      <c r="AL343" s="66"/>
    </row>
    <row r="344" spans="1:38" s="67" customFormat="1" ht="24" customHeight="1" x14ac:dyDescent="0.15">
      <c r="A344" s="330">
        <v>323</v>
      </c>
      <c r="B344" s="121"/>
      <c r="C344" s="205"/>
      <c r="D344" s="331"/>
      <c r="E344" s="122"/>
      <c r="F344" s="122"/>
      <c r="G344" s="122"/>
      <c r="H344" s="331"/>
      <c r="I344" s="205"/>
      <c r="J344" s="122"/>
      <c r="K344" s="122"/>
      <c r="L344" s="333"/>
      <c r="M344" s="205"/>
      <c r="N344" s="436"/>
      <c r="O344" s="341"/>
      <c r="P344" s="205"/>
      <c r="Q344" s="205"/>
      <c r="R344" s="205"/>
      <c r="S344" s="276"/>
      <c r="T344" s="64" t="s">
        <v>44</v>
      </c>
      <c r="U344" s="64">
        <f>COUNTIF(D342:D361,"임")</f>
        <v>0</v>
      </c>
      <c r="V344" s="65">
        <f>COUNTIF(I342:I361,"임")</f>
        <v>0</v>
      </c>
      <c r="W344" s="64" t="s">
        <v>26</v>
      </c>
      <c r="X344" s="64">
        <f>SUMIF(D342:D361,"임",F342:F361)</f>
        <v>0</v>
      </c>
      <c r="Y344" s="65">
        <f>SUMIF(I342:I361,"임",K342:K361)</f>
        <v>0</v>
      </c>
      <c r="Z344" s="64">
        <f>COUNTIF(AJ342:AJ361,"임국")+COUNTIF(AJ342:AJ361,"임공")</f>
        <v>0</v>
      </c>
      <c r="AA344" s="65">
        <f>COUNTIF(AK342:AK361,"임국")+COUNTIF(AK342:AK361,"임공")</f>
        <v>0</v>
      </c>
      <c r="AB344" s="64" t="s">
        <v>26</v>
      </c>
      <c r="AC344" s="64">
        <f>SUMIF(AJ342:AJ361,"임국",F342:F361)+SUMIF(AJ342:AJ361,"임공",F342:F361)</f>
        <v>0</v>
      </c>
      <c r="AD344" s="65">
        <f>SUMIF(AK342:AK361,"임국",K342:K361)+SUMIF(AK342:AK361,"임공",K342:K361)</f>
        <v>0</v>
      </c>
      <c r="AE344" s="64">
        <f t="shared" si="74"/>
        <v>0</v>
      </c>
      <c r="AF344" s="65">
        <f t="shared" si="75"/>
        <v>0</v>
      </c>
      <c r="AG344" s="64" t="s">
        <v>26</v>
      </c>
      <c r="AH344" s="64">
        <f t="shared" si="76"/>
        <v>0</v>
      </c>
      <c r="AI344" s="65">
        <f t="shared" si="77"/>
        <v>0</v>
      </c>
      <c r="AJ344" s="64" t="str">
        <f t="shared" si="78"/>
        <v/>
      </c>
      <c r="AK344" s="64" t="str">
        <f t="shared" si="72"/>
        <v/>
      </c>
      <c r="AL344" s="66"/>
    </row>
    <row r="345" spans="1:38" s="67" customFormat="1" ht="24" customHeight="1" x14ac:dyDescent="0.15">
      <c r="A345" s="330">
        <v>324</v>
      </c>
      <c r="B345" s="121"/>
      <c r="C345" s="205"/>
      <c r="D345" s="331"/>
      <c r="E345" s="122"/>
      <c r="F345" s="122"/>
      <c r="G345" s="122"/>
      <c r="H345" s="331"/>
      <c r="I345" s="205"/>
      <c r="J345" s="122"/>
      <c r="K345" s="122"/>
      <c r="L345" s="333"/>
      <c r="M345" s="205"/>
      <c r="N345" s="436"/>
      <c r="O345" s="341"/>
      <c r="P345" s="205"/>
      <c r="Q345" s="205"/>
      <c r="R345" s="205"/>
      <c r="S345" s="276"/>
      <c r="T345" s="64" t="s">
        <v>45</v>
      </c>
      <c r="U345" s="64">
        <f>COUNTIF(D342:D361,"대")</f>
        <v>0</v>
      </c>
      <c r="V345" s="65">
        <f>COUNTIF(I342:I361,"대")</f>
        <v>0</v>
      </c>
      <c r="W345" s="64" t="s">
        <v>26</v>
      </c>
      <c r="X345" s="64">
        <f>SUMIF(D342:D361,"대",F342:F361)</f>
        <v>0</v>
      </c>
      <c r="Y345" s="65">
        <f>SUMIF(I342:I361,"대",K342:K361)</f>
        <v>0</v>
      </c>
      <c r="Z345" s="64">
        <f>COUNTIF(AJ342:AJ361,"대국")+COUNTIF(AJ342:AJ361,"대공")</f>
        <v>0</v>
      </c>
      <c r="AA345" s="65">
        <f>COUNTIF(AK342:AK361,"대국")+COUNTIF(AK342:AK361,"대공")</f>
        <v>0</v>
      </c>
      <c r="AB345" s="64" t="s">
        <v>26</v>
      </c>
      <c r="AC345" s="64">
        <f>SUMIF(AJ342:AJ361,"대국",F342:F361)+SUMIF(AJ342:AJ361,"대공",F342:F361)</f>
        <v>0</v>
      </c>
      <c r="AD345" s="65">
        <f>SUMIF(AK342:AK361,"대국",K342:K361)+SUMIF(AK342:AK361,"대공",K342:K361)</f>
        <v>0</v>
      </c>
      <c r="AE345" s="64">
        <f t="shared" si="74"/>
        <v>0</v>
      </c>
      <c r="AF345" s="65">
        <f t="shared" si="75"/>
        <v>0</v>
      </c>
      <c r="AG345" s="64" t="s">
        <v>26</v>
      </c>
      <c r="AH345" s="64">
        <f t="shared" si="76"/>
        <v>0</v>
      </c>
      <c r="AI345" s="65">
        <f t="shared" si="77"/>
        <v>0</v>
      </c>
      <c r="AJ345" s="64" t="str">
        <f t="shared" si="78"/>
        <v/>
      </c>
      <c r="AK345" s="64" t="str">
        <f t="shared" si="72"/>
        <v/>
      </c>
      <c r="AL345" s="66"/>
    </row>
    <row r="346" spans="1:38" s="67" customFormat="1" ht="24" customHeight="1" x14ac:dyDescent="0.15">
      <c r="A346" s="330">
        <v>325</v>
      </c>
      <c r="B346" s="121"/>
      <c r="C346" s="205"/>
      <c r="D346" s="331"/>
      <c r="E346" s="122"/>
      <c r="F346" s="122"/>
      <c r="G346" s="122"/>
      <c r="H346" s="331"/>
      <c r="I346" s="205"/>
      <c r="J346" s="122"/>
      <c r="K346" s="122"/>
      <c r="L346" s="333"/>
      <c r="M346" s="205"/>
      <c r="N346" s="436"/>
      <c r="O346" s="341"/>
      <c r="P346" s="205"/>
      <c r="Q346" s="205"/>
      <c r="R346" s="205"/>
      <c r="S346" s="276"/>
      <c r="T346" s="64" t="s">
        <v>31</v>
      </c>
      <c r="U346" s="64">
        <f>COUNTIF(D342:D361,"도")</f>
        <v>0</v>
      </c>
      <c r="V346" s="65">
        <f>COUNTIF(I342:I361,"도")</f>
        <v>0</v>
      </c>
      <c r="W346" s="64" t="s">
        <v>26</v>
      </c>
      <c r="X346" s="64">
        <f>SUMIF(D342:D361,"도",F342:F361)</f>
        <v>0</v>
      </c>
      <c r="Y346" s="65">
        <f>SUMIF(I342:I361,"도",K342:K361)</f>
        <v>0</v>
      </c>
      <c r="Z346" s="64">
        <f>COUNTIF(AJ342:AJ361,"도국")+COUNTIF(AJ342:AJ361,"도공")</f>
        <v>0</v>
      </c>
      <c r="AA346" s="65">
        <f>COUNTIF(AK342:AK361,"도국")+COUNTIF(AK342:AK361,"도공")</f>
        <v>0</v>
      </c>
      <c r="AB346" s="64" t="s">
        <v>26</v>
      </c>
      <c r="AC346" s="64">
        <f>SUMIF(AJ342:AJ361,"도국",F342:F361)+SUMIF(AJ342:AJ361,"도공",F342:F361)</f>
        <v>0</v>
      </c>
      <c r="AD346" s="65">
        <f>SUMIF(AK342:AK361,"도국",K342:K361)+SUMIF(AK342:AK361,"도공",K342:K361)</f>
        <v>0</v>
      </c>
      <c r="AE346" s="64">
        <f t="shared" si="74"/>
        <v>0</v>
      </c>
      <c r="AF346" s="65">
        <f t="shared" si="75"/>
        <v>0</v>
      </c>
      <c r="AG346" s="64" t="s">
        <v>26</v>
      </c>
      <c r="AH346" s="64">
        <f t="shared" si="76"/>
        <v>0</v>
      </c>
      <c r="AI346" s="65">
        <f t="shared" si="77"/>
        <v>0</v>
      </c>
      <c r="AJ346" s="64" t="str">
        <f t="shared" si="78"/>
        <v/>
      </c>
      <c r="AK346" s="64" t="str">
        <f t="shared" si="72"/>
        <v/>
      </c>
      <c r="AL346" s="66"/>
    </row>
    <row r="347" spans="1:38" s="67" customFormat="1" ht="24" customHeight="1" x14ac:dyDescent="0.15">
      <c r="A347" s="330">
        <v>326</v>
      </c>
      <c r="B347" s="121"/>
      <c r="C347" s="205"/>
      <c r="D347" s="331"/>
      <c r="E347" s="122"/>
      <c r="F347" s="122"/>
      <c r="G347" s="122"/>
      <c r="H347" s="331"/>
      <c r="I347" s="205"/>
      <c r="J347" s="122"/>
      <c r="K347" s="122"/>
      <c r="L347" s="333"/>
      <c r="M347" s="205"/>
      <c r="N347" s="436"/>
      <c r="O347" s="341"/>
      <c r="P347" s="205"/>
      <c r="Q347" s="205"/>
      <c r="R347" s="205"/>
      <c r="S347" s="276"/>
      <c r="T347" s="64" t="s">
        <v>32</v>
      </c>
      <c r="U347" s="68">
        <f>COUNTIF(D342:D361,"천")</f>
        <v>0</v>
      </c>
      <c r="V347" s="69">
        <f>COUNTIF(I342:I361,"천")</f>
        <v>0</v>
      </c>
      <c r="W347" s="64" t="s">
        <v>26</v>
      </c>
      <c r="X347" s="64">
        <f>SUMIF(D342:D361,"천",F342:F361)</f>
        <v>0</v>
      </c>
      <c r="Y347" s="65">
        <f>SUMIF(I342:I361,"천",K342:K361)</f>
        <v>0</v>
      </c>
      <c r="Z347" s="64">
        <f>COUNTIF(AJ342:AJ361,"천국")+COUNTIF(AJ342:AJ361,"천공")</f>
        <v>0</v>
      </c>
      <c r="AA347" s="65">
        <f>COUNTIF(AK342:AK361,"천국")+COUNTIF(AK342:AK361,"천공")</f>
        <v>0</v>
      </c>
      <c r="AB347" s="64" t="s">
        <v>26</v>
      </c>
      <c r="AC347" s="64">
        <f>SUMIF(AJ342:AJ361,"천국",F342:F361)+SUMIF(AJ342:AJ361,"천공",F342:F361)</f>
        <v>0</v>
      </c>
      <c r="AD347" s="65">
        <f>SUMIF(AK342:AK361,"천국",K342:K361)+SUMIF(AK342:AK361,"천공",K342:K361)</f>
        <v>0</v>
      </c>
      <c r="AE347" s="64">
        <f t="shared" si="74"/>
        <v>0</v>
      </c>
      <c r="AF347" s="65">
        <f t="shared" si="75"/>
        <v>0</v>
      </c>
      <c r="AG347" s="64" t="s">
        <v>26</v>
      </c>
      <c r="AH347" s="64">
        <f t="shared" si="76"/>
        <v>0</v>
      </c>
      <c r="AI347" s="65">
        <f t="shared" si="77"/>
        <v>0</v>
      </c>
      <c r="AJ347" s="64" t="str">
        <f t="shared" si="78"/>
        <v/>
      </c>
      <c r="AK347" s="64" t="str">
        <f t="shared" si="72"/>
        <v/>
      </c>
      <c r="AL347" s="66"/>
    </row>
    <row r="348" spans="1:38" s="67" customFormat="1" ht="24" customHeight="1" x14ac:dyDescent="0.15">
      <c r="A348" s="330">
        <v>327</v>
      </c>
      <c r="B348" s="121"/>
      <c r="C348" s="205"/>
      <c r="D348" s="331"/>
      <c r="E348" s="122"/>
      <c r="F348" s="122"/>
      <c r="G348" s="122"/>
      <c r="H348" s="331"/>
      <c r="I348" s="205"/>
      <c r="J348" s="122"/>
      <c r="K348" s="122"/>
      <c r="L348" s="333"/>
      <c r="M348" s="205"/>
      <c r="N348" s="436"/>
      <c r="O348" s="341"/>
      <c r="P348" s="205"/>
      <c r="Q348" s="205"/>
      <c r="R348" s="205"/>
      <c r="S348" s="276"/>
      <c r="T348" s="64" t="s">
        <v>33</v>
      </c>
      <c r="U348" s="64">
        <f>COUNTIF(D342:D361,"구")</f>
        <v>0</v>
      </c>
      <c r="V348" s="65">
        <f>COUNTIF(I342:I361,"구")</f>
        <v>0</v>
      </c>
      <c r="W348" s="64" t="s">
        <v>26</v>
      </c>
      <c r="X348" s="64">
        <f>SUMIF(D342:D361,"구",F342:F361)</f>
        <v>0</v>
      </c>
      <c r="Y348" s="65">
        <f>SUMIF(I342:I361,"구",K342:K361)</f>
        <v>0</v>
      </c>
      <c r="Z348" s="64">
        <f>COUNTIF(AJ342:AJ361,"구국")+COUNTIF(AJ342:AJ361,"구공")</f>
        <v>0</v>
      </c>
      <c r="AA348" s="65">
        <f>COUNTIF(AK342:AK361,"구국")+COUNTIF(AK342:AK361,"구공")</f>
        <v>0</v>
      </c>
      <c r="AB348" s="64" t="s">
        <v>26</v>
      </c>
      <c r="AC348" s="64">
        <f>SUMIF(AJ342:AJ361,"구국",F342:F361)+SUMIF(AJ342:AJ361,"구공",F342:F361)</f>
        <v>0</v>
      </c>
      <c r="AD348" s="65">
        <f>SUMIF(AK342:AK361,"구국",K342:K361)+SUMIF(AK342:AK361,"구공",K342:K361)</f>
        <v>0</v>
      </c>
      <c r="AE348" s="64">
        <f t="shared" si="74"/>
        <v>0</v>
      </c>
      <c r="AF348" s="65">
        <f t="shared" si="75"/>
        <v>0</v>
      </c>
      <c r="AG348" s="64" t="s">
        <v>26</v>
      </c>
      <c r="AH348" s="64">
        <f t="shared" si="76"/>
        <v>0</v>
      </c>
      <c r="AI348" s="65">
        <f t="shared" si="77"/>
        <v>0</v>
      </c>
      <c r="AJ348" s="64" t="str">
        <f t="shared" si="78"/>
        <v/>
      </c>
      <c r="AK348" s="64" t="str">
        <f t="shared" ref="AK348:AK362" si="79">CONCATENATE(I348,N348)</f>
        <v/>
      </c>
      <c r="AL348" s="66"/>
    </row>
    <row r="349" spans="1:38" s="67" customFormat="1" ht="24" customHeight="1" x14ac:dyDescent="0.15">
      <c r="A349" s="330">
        <v>328</v>
      </c>
      <c r="B349" s="121"/>
      <c r="C349" s="331"/>
      <c r="D349" s="331"/>
      <c r="E349" s="122"/>
      <c r="F349" s="122"/>
      <c r="G349" s="122"/>
      <c r="H349" s="331"/>
      <c r="I349" s="331"/>
      <c r="J349" s="122"/>
      <c r="K349" s="122"/>
      <c r="L349" s="332"/>
      <c r="M349" s="205"/>
      <c r="N349" s="457"/>
      <c r="O349" s="341"/>
      <c r="P349" s="205"/>
      <c r="Q349" s="205"/>
      <c r="R349" s="205"/>
      <c r="S349" s="276"/>
      <c r="T349" s="64" t="s">
        <v>34</v>
      </c>
      <c r="U349" s="64">
        <f>COUNTIF(D342:D361,"제")</f>
        <v>0</v>
      </c>
      <c r="V349" s="65">
        <f>COUNTIF(I342:I361,"제")</f>
        <v>0</v>
      </c>
      <c r="W349" s="64" t="s">
        <v>26</v>
      </c>
      <c r="X349" s="64">
        <f>SUMIF(D342:D361,"제",F342:F361)</f>
        <v>0</v>
      </c>
      <c r="Y349" s="65">
        <f>SUMIF(I342:I361,"제",K342:K361)</f>
        <v>0</v>
      </c>
      <c r="Z349" s="64">
        <f>COUNTIF(AJ342:AJ361,"제국")+COUNTIF(AJ342:AJ361,"제공")</f>
        <v>0</v>
      </c>
      <c r="AA349" s="65">
        <f>COUNTIF(AK342:AK361,"제국")+COUNTIF(AK342:AK361,"제공")</f>
        <v>0</v>
      </c>
      <c r="AB349" s="64" t="s">
        <v>26</v>
      </c>
      <c r="AC349" s="64">
        <f>SUMIF(AJ342:AJ361,"제국",F342:F361)+SUMIF(AJ342:AJ361,"제공",F342:F361)</f>
        <v>0</v>
      </c>
      <c r="AD349" s="65">
        <f>SUMIF(AK342:AK361,"제국",K342:K361)+SUMIF(AK342:AK361,"제공",K342:K361)</f>
        <v>0</v>
      </c>
      <c r="AE349" s="64">
        <f t="shared" si="74"/>
        <v>0</v>
      </c>
      <c r="AF349" s="65">
        <f t="shared" si="75"/>
        <v>0</v>
      </c>
      <c r="AG349" s="64" t="s">
        <v>26</v>
      </c>
      <c r="AH349" s="64">
        <f t="shared" si="76"/>
        <v>0</v>
      </c>
      <c r="AI349" s="65">
        <f t="shared" si="77"/>
        <v>0</v>
      </c>
      <c r="AJ349" s="64" t="str">
        <f t="shared" si="78"/>
        <v/>
      </c>
      <c r="AK349" s="64" t="str">
        <f t="shared" si="79"/>
        <v/>
      </c>
      <c r="AL349" s="66"/>
    </row>
    <row r="350" spans="1:38" s="67" customFormat="1" ht="24" customHeight="1" x14ac:dyDescent="0.15">
      <c r="A350" s="330"/>
      <c r="B350" s="121"/>
      <c r="C350" s="331"/>
      <c r="D350" s="331"/>
      <c r="E350" s="122"/>
      <c r="F350" s="122"/>
      <c r="G350" s="122"/>
      <c r="H350" s="331"/>
      <c r="I350" s="331"/>
      <c r="J350" s="122"/>
      <c r="K350" s="122"/>
      <c r="L350" s="332"/>
      <c r="M350" s="205"/>
      <c r="N350" s="457"/>
      <c r="O350" s="341"/>
      <c r="P350" s="331"/>
      <c r="Q350" s="331"/>
      <c r="R350" s="331"/>
      <c r="S350" s="276"/>
      <c r="T350" s="64" t="s">
        <v>46</v>
      </c>
      <c r="U350" s="64">
        <f>COUNTIF(D342:D361,"유")</f>
        <v>0</v>
      </c>
      <c r="V350" s="65">
        <f>COUNTIF(I342:I361,"유")</f>
        <v>0</v>
      </c>
      <c r="W350" s="64" t="s">
        <v>26</v>
      </c>
      <c r="X350" s="64">
        <f>SUMIF(D342:D361,"유",F342:F361)</f>
        <v>0</v>
      </c>
      <c r="Y350" s="65">
        <f>SUMIF(I342:I361,"유",K342:K361)</f>
        <v>0</v>
      </c>
      <c r="Z350" s="64">
        <f>COUNTIF(AJ342:AJ361,"유국")+COUNTIF(AJ342:AJ361,"유공")</f>
        <v>0</v>
      </c>
      <c r="AA350" s="65">
        <f>COUNTIF(AK342:AK361,"유국")+COUNTIF(AK342:AK361,"유공")</f>
        <v>0</v>
      </c>
      <c r="AB350" s="64" t="s">
        <v>26</v>
      </c>
      <c r="AC350" s="64">
        <f>SUMIF(AJ342:AJ361,"유국",F342:F361)+SUMIF(AJ342:AJ361,"유공",F342:F361)</f>
        <v>0</v>
      </c>
      <c r="AD350" s="65">
        <f>SUMIF(AK342:AK361,"유국",K342:K361)+SUMIF(AK342:AK361,"유공",K342:K361)</f>
        <v>0</v>
      </c>
      <c r="AE350" s="64">
        <f t="shared" si="74"/>
        <v>0</v>
      </c>
      <c r="AF350" s="65">
        <f t="shared" si="75"/>
        <v>0</v>
      </c>
      <c r="AG350" s="64" t="s">
        <v>26</v>
      </c>
      <c r="AH350" s="64">
        <f t="shared" si="76"/>
        <v>0</v>
      </c>
      <c r="AI350" s="65">
        <f t="shared" si="77"/>
        <v>0</v>
      </c>
      <c r="AJ350" s="64" t="str">
        <f t="shared" si="78"/>
        <v/>
      </c>
      <c r="AK350" s="64" t="str">
        <f t="shared" si="79"/>
        <v/>
      </c>
      <c r="AL350" s="66"/>
    </row>
    <row r="351" spans="1:38" s="67" customFormat="1" ht="24" customHeight="1" x14ac:dyDescent="0.15">
      <c r="A351" s="330"/>
      <c r="B351" s="121"/>
      <c r="C351" s="331"/>
      <c r="D351" s="331"/>
      <c r="E351" s="122"/>
      <c r="F351" s="122"/>
      <c r="G351" s="122"/>
      <c r="H351" s="331"/>
      <c r="I351" s="331"/>
      <c r="J351" s="122"/>
      <c r="K351" s="122"/>
      <c r="L351" s="332"/>
      <c r="M351" s="205"/>
      <c r="N351" s="457"/>
      <c r="O351" s="341"/>
      <c r="P351" s="331"/>
      <c r="Q351" s="331"/>
      <c r="R351" s="331"/>
      <c r="S351" s="276"/>
      <c r="T351" s="64" t="s">
        <v>47</v>
      </c>
      <c r="U351" s="64">
        <f>COUNTIF(D342:D361,"과")</f>
        <v>0</v>
      </c>
      <c r="V351" s="65">
        <f>COUNTIF(I342:I361,"과")</f>
        <v>0</v>
      </c>
      <c r="W351" s="64" t="s">
        <v>26</v>
      </c>
      <c r="X351" s="64">
        <f>SUMIF(D342:D361,"과",F342:F361)</f>
        <v>0</v>
      </c>
      <c r="Y351" s="65">
        <f>SUMIF(I342:I361,"과",K342:K361)</f>
        <v>0</v>
      </c>
      <c r="Z351" s="64">
        <f>COUNTIF(AJ342:AJ361,"과국")+COUNTIF(AJ342:AJ361,"과공")</f>
        <v>0</v>
      </c>
      <c r="AA351" s="65">
        <f>COUNTIF(AK342:AK361,"과국")+COUNTIF(AK342:AK361,"과공")</f>
        <v>0</v>
      </c>
      <c r="AB351" s="64" t="s">
        <v>26</v>
      </c>
      <c r="AC351" s="64">
        <f>SUMIF(AJ342:AJ361,"과국",F342:F361)+SUMIF(AJ342:AJ361,"과공",F342:F361)</f>
        <v>0</v>
      </c>
      <c r="AD351" s="65">
        <f>SUMIF(AK342:AK361,"과국",K342:K361)+SUMIF(AK342:AK361,"과공",K342:K361)</f>
        <v>0</v>
      </c>
      <c r="AE351" s="64">
        <f t="shared" si="74"/>
        <v>0</v>
      </c>
      <c r="AF351" s="65">
        <f t="shared" si="75"/>
        <v>0</v>
      </c>
      <c r="AG351" s="64" t="s">
        <v>26</v>
      </c>
      <c r="AH351" s="64">
        <f t="shared" si="76"/>
        <v>0</v>
      </c>
      <c r="AI351" s="65">
        <f t="shared" si="77"/>
        <v>0</v>
      </c>
      <c r="AJ351" s="64" t="str">
        <f t="shared" si="78"/>
        <v/>
      </c>
      <c r="AK351" s="64" t="str">
        <f t="shared" si="79"/>
        <v/>
      </c>
      <c r="AL351" s="66"/>
    </row>
    <row r="352" spans="1:38" s="67" customFormat="1" ht="24" customHeight="1" x14ac:dyDescent="0.15">
      <c r="A352" s="330"/>
      <c r="B352" s="121"/>
      <c r="C352" s="331"/>
      <c r="D352" s="331"/>
      <c r="E352" s="122"/>
      <c r="F352" s="122"/>
      <c r="G352" s="122"/>
      <c r="H352" s="331"/>
      <c r="I352" s="331"/>
      <c r="J352" s="122"/>
      <c r="K352" s="122"/>
      <c r="L352" s="332"/>
      <c r="M352" s="205"/>
      <c r="N352" s="457"/>
      <c r="O352" s="341"/>
      <c r="P352" s="331"/>
      <c r="Q352" s="331"/>
      <c r="R352" s="331"/>
      <c r="S352" s="276"/>
      <c r="T352" s="64" t="s">
        <v>36</v>
      </c>
      <c r="U352" s="64">
        <f>COUNTIF(D342:D361,"묘")</f>
        <v>0</v>
      </c>
      <c r="V352" s="65">
        <f>COUNTIF(I342:I361,"묘")</f>
        <v>0</v>
      </c>
      <c r="W352" s="64" t="s">
        <v>26</v>
      </c>
      <c r="X352" s="64">
        <f>SUMIF(D342:D361,"묘",F342:F361)</f>
        <v>0</v>
      </c>
      <c r="Y352" s="65">
        <f>SUMIF(I342:I361,"묘",K342:K361)</f>
        <v>0</v>
      </c>
      <c r="Z352" s="64">
        <f>COUNTIF(AJ342:AJ361,"묘국")+COUNTIF(AJ342:AJ361,"묘공")</f>
        <v>0</v>
      </c>
      <c r="AA352" s="65">
        <f>COUNTIF(AK342:AK361,"묘국")+COUNTIF(AK342:AK361,"묘공")</f>
        <v>0</v>
      </c>
      <c r="AB352" s="64" t="s">
        <v>26</v>
      </c>
      <c r="AC352" s="64">
        <f>SUMIF(AJ342:AJ361,"묘국",F342:F361)+SUMIF(AJ342:AJ361,"묘공",F342:F361)</f>
        <v>0</v>
      </c>
      <c r="AD352" s="65">
        <f>SUMIF(AK342:AK361,"묘국",K342:K361)+SUMIF(AK342:AK361,"묘공",K342:K361)</f>
        <v>0</v>
      </c>
      <c r="AE352" s="64">
        <f t="shared" si="74"/>
        <v>0</v>
      </c>
      <c r="AF352" s="65">
        <f t="shared" si="75"/>
        <v>0</v>
      </c>
      <c r="AG352" s="64" t="s">
        <v>26</v>
      </c>
      <c r="AH352" s="64">
        <f t="shared" si="76"/>
        <v>0</v>
      </c>
      <c r="AI352" s="65">
        <f t="shared" si="77"/>
        <v>0</v>
      </c>
      <c r="AJ352" s="64" t="str">
        <f t="shared" si="78"/>
        <v/>
      </c>
      <c r="AK352" s="64" t="str">
        <f t="shared" si="79"/>
        <v/>
      </c>
      <c r="AL352" s="66"/>
    </row>
    <row r="353" spans="1:38" s="67" customFormat="1" ht="24" customHeight="1" x14ac:dyDescent="0.15">
      <c r="A353" s="330"/>
      <c r="B353" s="121"/>
      <c r="C353" s="331"/>
      <c r="D353" s="331"/>
      <c r="E353" s="122"/>
      <c r="F353" s="122"/>
      <c r="G353" s="122"/>
      <c r="H353" s="331"/>
      <c r="I353" s="331"/>
      <c r="J353" s="122"/>
      <c r="K353" s="122"/>
      <c r="L353" s="332"/>
      <c r="M353" s="205"/>
      <c r="N353" s="457"/>
      <c r="O353" s="341"/>
      <c r="P353" s="331"/>
      <c r="Q353" s="331"/>
      <c r="R353" s="331"/>
      <c r="S353" s="276"/>
      <c r="T353" s="64" t="s">
        <v>39</v>
      </c>
      <c r="U353" s="64">
        <f>COUNTIF(D342:D361,"수")</f>
        <v>0</v>
      </c>
      <c r="V353" s="65">
        <f>COUNTIF(I342:I361,"수")</f>
        <v>0</v>
      </c>
      <c r="W353" s="64" t="s">
        <v>26</v>
      </c>
      <c r="X353" s="64">
        <f>SUMIF(D342:D361,"수",F342:F361)</f>
        <v>0</v>
      </c>
      <c r="Y353" s="65">
        <f>SUMIF(I342:I361,"수",K342:K361)</f>
        <v>0</v>
      </c>
      <c r="Z353" s="64">
        <f>COUNTIF(AJ342:AJ361,"수국")+COUNTIF(AJ342:AJ361,"수공")</f>
        <v>0</v>
      </c>
      <c r="AA353" s="65">
        <f>COUNTIF(AK342:AK361,"수국")+COUNTIF(AK342:AK361,"수공")</f>
        <v>0</v>
      </c>
      <c r="AB353" s="64" t="s">
        <v>26</v>
      </c>
      <c r="AC353" s="64">
        <f>SUMIF(AJ342:AJ361,"수국",F342:F361)+SUMIF(AJ342:AJ361,"수공",F342:F361)</f>
        <v>0</v>
      </c>
      <c r="AD353" s="65">
        <f>SUMIF(AK342:AK361,"수국",K342:K361)+SUMIF(AK342:AK361,"수공",K342:K361)</f>
        <v>0</v>
      </c>
      <c r="AE353" s="64">
        <f t="shared" si="74"/>
        <v>0</v>
      </c>
      <c r="AF353" s="65">
        <f t="shared" si="75"/>
        <v>0</v>
      </c>
      <c r="AG353" s="64" t="s">
        <v>26</v>
      </c>
      <c r="AH353" s="64">
        <f t="shared" si="76"/>
        <v>0</v>
      </c>
      <c r="AI353" s="65">
        <f t="shared" si="77"/>
        <v>0</v>
      </c>
      <c r="AJ353" s="64" t="str">
        <f t="shared" si="78"/>
        <v/>
      </c>
      <c r="AK353" s="64" t="str">
        <f t="shared" si="79"/>
        <v/>
      </c>
      <c r="AL353" s="66"/>
    </row>
    <row r="354" spans="1:38" s="67" customFormat="1" ht="24" customHeight="1" x14ac:dyDescent="0.15">
      <c r="A354" s="330"/>
      <c r="B354" s="121"/>
      <c r="C354" s="331"/>
      <c r="D354" s="331"/>
      <c r="E354" s="122"/>
      <c r="F354" s="122"/>
      <c r="G354" s="122"/>
      <c r="H354" s="331"/>
      <c r="I354" s="331"/>
      <c r="J354" s="122"/>
      <c r="K354" s="122"/>
      <c r="L354" s="332"/>
      <c r="M354" s="205"/>
      <c r="N354" s="457"/>
      <c r="O354" s="341"/>
      <c r="P354" s="331"/>
      <c r="Q354" s="331"/>
      <c r="R354" s="331"/>
      <c r="S354" s="276"/>
      <c r="T354" s="64" t="s">
        <v>35</v>
      </c>
      <c r="U354" s="64">
        <f>COUNTIF(D342:D361,"잡")</f>
        <v>0</v>
      </c>
      <c r="V354" s="65">
        <f>COUNTIF(I342:I361,"잡")</f>
        <v>0</v>
      </c>
      <c r="W354" s="64" t="s">
        <v>26</v>
      </c>
      <c r="X354" s="64">
        <f>SUMIF(D342:D361,"잡",F342:F361)</f>
        <v>0</v>
      </c>
      <c r="Y354" s="65">
        <f>SUMIF(I342:I361,"잡",K342:K361)</f>
        <v>0</v>
      </c>
      <c r="Z354" s="64">
        <f>COUNTIF(AJ342:AJ361,"잡국")+COUNTIF(AJ342:AJ361,"잡공")</f>
        <v>0</v>
      </c>
      <c r="AA354" s="65">
        <f>COUNTIF(AK342:AK361,"잡국")+COUNTIF(AK342:AK361,"잡공")</f>
        <v>0</v>
      </c>
      <c r="AB354" s="64" t="s">
        <v>26</v>
      </c>
      <c r="AC354" s="64">
        <f>SUMIF(AJ342:AJ361,"잡국",F342:F361)+SUMIF(AJ342:AJ361,"잡공",F342:F361)</f>
        <v>0</v>
      </c>
      <c r="AD354" s="65">
        <f>SUMIF(AK342:AK361,"잡국",K342:K361)+SUMIF(AK342:AK361,"잡공",K342:K361)</f>
        <v>0</v>
      </c>
      <c r="AE354" s="64">
        <f t="shared" si="74"/>
        <v>0</v>
      </c>
      <c r="AF354" s="65">
        <f t="shared" si="75"/>
        <v>0</v>
      </c>
      <c r="AG354" s="64" t="s">
        <v>26</v>
      </c>
      <c r="AH354" s="64">
        <f t="shared" si="76"/>
        <v>0</v>
      </c>
      <c r="AI354" s="65">
        <f t="shared" si="77"/>
        <v>0</v>
      </c>
      <c r="AJ354" s="64" t="str">
        <f t="shared" si="78"/>
        <v/>
      </c>
      <c r="AK354" s="64" t="str">
        <f t="shared" si="79"/>
        <v/>
      </c>
      <c r="AL354" s="66"/>
    </row>
    <row r="355" spans="1:38" s="67" customFormat="1" ht="24" customHeight="1" x14ac:dyDescent="0.15">
      <c r="A355" s="330"/>
      <c r="B355" s="121"/>
      <c r="C355" s="331"/>
      <c r="D355" s="331"/>
      <c r="E355" s="122"/>
      <c r="F355" s="122"/>
      <c r="G355" s="122"/>
      <c r="H355" s="331"/>
      <c r="I355" s="331"/>
      <c r="J355" s="122"/>
      <c r="K355" s="122"/>
      <c r="L355" s="332"/>
      <c r="M355" s="205"/>
      <c r="N355" s="457"/>
      <c r="O355" s="341"/>
      <c r="P355" s="331"/>
      <c r="Q355" s="331"/>
      <c r="R355" s="331"/>
      <c r="S355" s="276"/>
      <c r="T355" s="64" t="s">
        <v>2</v>
      </c>
      <c r="U355" s="64">
        <f>COUNTIF(D342:D361,"창")</f>
        <v>0</v>
      </c>
      <c r="V355" s="65">
        <f>COUNTIF(I342:I361,"창")</f>
        <v>0</v>
      </c>
      <c r="W355" s="64" t="s">
        <v>26</v>
      </c>
      <c r="X355" s="64">
        <f>SUMIF(D342:D361,"창",F342:F361)</f>
        <v>0</v>
      </c>
      <c r="Y355" s="65">
        <f>SUMIF(I342:I361,"창",K342:K361)</f>
        <v>0</v>
      </c>
      <c r="Z355" s="64">
        <f>COUNTIF(AJ342:AJ361,"창국")+COUNTIF(AJ342:AJ361,"창공")</f>
        <v>0</v>
      </c>
      <c r="AA355" s="65">
        <f>COUNTIF(AK342:AK361,"창국")+COUNTIF(AK342:AK361,"창공")</f>
        <v>0</v>
      </c>
      <c r="AB355" s="64" t="s">
        <v>26</v>
      </c>
      <c r="AC355" s="64">
        <f>SUMIF(AJ342:AJ361,"창국",F342:F361)+SUMIF(AJ342:AJ361,"창공",F342:F361)</f>
        <v>0</v>
      </c>
      <c r="AD355" s="65">
        <f>SUMIF(AK342:AK361,"창국",K342:K361)+SUMIF(AK342:AK361,"창공",K342:K361)</f>
        <v>0</v>
      </c>
      <c r="AE355" s="64">
        <f t="shared" si="74"/>
        <v>0</v>
      </c>
      <c r="AF355" s="65">
        <f t="shared" si="75"/>
        <v>0</v>
      </c>
      <c r="AG355" s="64" t="s">
        <v>26</v>
      </c>
      <c r="AH355" s="64">
        <f t="shared" si="76"/>
        <v>0</v>
      </c>
      <c r="AI355" s="65">
        <f t="shared" si="77"/>
        <v>0</v>
      </c>
      <c r="AJ355" s="64" t="str">
        <f t="shared" si="78"/>
        <v/>
      </c>
      <c r="AK355" s="64" t="str">
        <f t="shared" si="79"/>
        <v/>
      </c>
      <c r="AL355" s="66"/>
    </row>
    <row r="356" spans="1:38" s="67" customFormat="1" ht="24" customHeight="1" x14ac:dyDescent="0.15">
      <c r="A356" s="330"/>
      <c r="B356" s="331"/>
      <c r="C356" s="331"/>
      <c r="D356" s="331"/>
      <c r="E356" s="122"/>
      <c r="F356" s="122"/>
      <c r="G356" s="122"/>
      <c r="H356" s="331"/>
      <c r="I356" s="331"/>
      <c r="J356" s="122"/>
      <c r="K356" s="122"/>
      <c r="L356" s="332"/>
      <c r="M356" s="205"/>
      <c r="N356" s="457"/>
      <c r="O356" s="341"/>
      <c r="P356" s="331"/>
      <c r="Q356" s="331"/>
      <c r="R356" s="331"/>
      <c r="S356" s="276"/>
      <c r="T356" s="64" t="s">
        <v>194</v>
      </c>
      <c r="U356" s="64">
        <f>COUNTIF(D342:D361,"장")</f>
        <v>0</v>
      </c>
      <c r="V356" s="65">
        <f>COUNTIF(I342:I361,"장")</f>
        <v>0</v>
      </c>
      <c r="W356" s="64" t="s">
        <v>26</v>
      </c>
      <c r="X356" s="64">
        <f>SUMIF(D342:D361,"장",F342:F361)</f>
        <v>0</v>
      </c>
      <c r="Y356" s="65">
        <f>SUMIF(I342:I361,"장",K342:K361)</f>
        <v>0</v>
      </c>
      <c r="Z356" s="64">
        <f>COUNTIF(AJ342:AJ361,"장국")+COUNTIF(AJ342:AJ361,"장장")</f>
        <v>0</v>
      </c>
      <c r="AA356" s="65">
        <f>COUNTIF(AK342:AK361,"장국")+COUNTIF(AK342:AK361,"장장")</f>
        <v>0</v>
      </c>
      <c r="AB356" s="64" t="s">
        <v>26</v>
      </c>
      <c r="AC356" s="64">
        <f>SUMIF(AJ342:AJ361,"장국",F342:F361)+SUMIF(AJ342:AJ361,"장장",F342:F361)</f>
        <v>0</v>
      </c>
      <c r="AD356" s="65">
        <f>SUMIF(AK342:AK361,"장국",K342:K361)+SUMIF(AK342:AK361,"장장",K342:K361)</f>
        <v>0</v>
      </c>
      <c r="AE356" s="64">
        <f t="shared" si="74"/>
        <v>0</v>
      </c>
      <c r="AF356" s="65">
        <f t="shared" si="75"/>
        <v>0</v>
      </c>
      <c r="AG356" s="64" t="s">
        <v>26</v>
      </c>
      <c r="AH356" s="64">
        <f t="shared" si="76"/>
        <v>0</v>
      </c>
      <c r="AI356" s="65">
        <f t="shared" si="77"/>
        <v>0</v>
      </c>
      <c r="AJ356" s="64" t="str">
        <f t="shared" si="78"/>
        <v/>
      </c>
      <c r="AK356" s="64" t="str">
        <f t="shared" si="79"/>
        <v/>
      </c>
      <c r="AL356" s="66"/>
    </row>
    <row r="357" spans="1:38" s="67" customFormat="1" ht="24" customHeight="1" x14ac:dyDescent="0.15">
      <c r="A357" s="330"/>
      <c r="B357" s="331"/>
      <c r="C357" s="331"/>
      <c r="D357" s="331"/>
      <c r="E357" s="122"/>
      <c r="F357" s="122"/>
      <c r="G357" s="122"/>
      <c r="H357" s="331"/>
      <c r="I357" s="331"/>
      <c r="J357" s="122"/>
      <c r="K357" s="122"/>
      <c r="L357" s="332"/>
      <c r="M357" s="205"/>
      <c r="N357" s="457"/>
      <c r="O357" s="341"/>
      <c r="P357" s="331"/>
      <c r="Q357" s="331"/>
      <c r="R357" s="331"/>
      <c r="S357" s="276"/>
      <c r="T357" s="70" t="s">
        <v>193</v>
      </c>
      <c r="U357" s="64">
        <f>COUNTIF(D342:D361,"학")</f>
        <v>0</v>
      </c>
      <c r="V357" s="65">
        <f>COUNTIF(I342:I361,"학")</f>
        <v>0</v>
      </c>
      <c r="W357" s="64" t="s">
        <v>26</v>
      </c>
      <c r="X357" s="64">
        <f>SUMIF(D342:D361,"학",F342:F361)</f>
        <v>0</v>
      </c>
      <c r="Y357" s="65">
        <f>SUMIF(I342:I361,"학",K342:K361)</f>
        <v>0</v>
      </c>
      <c r="Z357" s="64">
        <f>COUNTIF(AJ342:AJ361,"학국")+COUNTIF(AJ342:AJ361,"학공")</f>
        <v>0</v>
      </c>
      <c r="AA357" s="65">
        <f>COUNTIF(AK342:AK361,"학국")+COUNTIF(AK342:AK361,"학공")</f>
        <v>0</v>
      </c>
      <c r="AB357" s="64" t="s">
        <v>26</v>
      </c>
      <c r="AC357" s="64">
        <f>SUMIF(AJ342:AJ361,"학국",F342:F361)+SUMIF(AJ342:AJ361,"학공",F342:F361)</f>
        <v>0</v>
      </c>
      <c r="AD357" s="65">
        <f>SUMIF(AK342:AK361,"학국",K342:K361)+SUMIF(AK342:AK361,"학공",K342:K361)</f>
        <v>0</v>
      </c>
      <c r="AE357" s="64">
        <f t="shared" si="74"/>
        <v>0</v>
      </c>
      <c r="AF357" s="65">
        <f t="shared" si="75"/>
        <v>0</v>
      </c>
      <c r="AG357" s="64" t="s">
        <v>26</v>
      </c>
      <c r="AH357" s="64">
        <f t="shared" si="76"/>
        <v>0</v>
      </c>
      <c r="AI357" s="65">
        <f t="shared" si="77"/>
        <v>0</v>
      </c>
      <c r="AJ357" s="64" t="str">
        <f t="shared" si="78"/>
        <v/>
      </c>
      <c r="AK357" s="64" t="str">
        <f t="shared" si="79"/>
        <v/>
      </c>
      <c r="AL357" s="66"/>
    </row>
    <row r="358" spans="1:38" s="67" customFormat="1" ht="24" customHeight="1" x14ac:dyDescent="0.15">
      <c r="A358" s="330"/>
      <c r="B358" s="331"/>
      <c r="C358" s="331"/>
      <c r="D358" s="331"/>
      <c r="E358" s="122"/>
      <c r="F358" s="122"/>
      <c r="G358" s="122"/>
      <c r="H358" s="331"/>
      <c r="I358" s="331"/>
      <c r="J358" s="122"/>
      <c r="K358" s="122"/>
      <c r="L358" s="332"/>
      <c r="M358" s="205"/>
      <c r="N358" s="457"/>
      <c r="O358" s="341"/>
      <c r="P358" s="331"/>
      <c r="Q358" s="331"/>
      <c r="R358" s="331"/>
      <c r="S358" s="276"/>
      <c r="T358" s="70" t="s">
        <v>5</v>
      </c>
      <c r="U358" s="64">
        <f>COUNTIF(D342:D361,"목")</f>
        <v>0</v>
      </c>
      <c r="V358" s="65">
        <f>COUNTIF(I342:I361,"목")</f>
        <v>0</v>
      </c>
      <c r="W358" s="64" t="s">
        <v>26</v>
      </c>
      <c r="X358" s="64">
        <f>SUMIF(D342:D361,"목",F342:F361)</f>
        <v>0</v>
      </c>
      <c r="Y358" s="65">
        <f>SUMIF(I342:I361,"목",K342:K361)</f>
        <v>0</v>
      </c>
      <c r="Z358" s="64">
        <f>COUNTIF(AJ342:AJ361,"목국")+COUNTIF(AJ342:AJ361,"목공")</f>
        <v>0</v>
      </c>
      <c r="AA358" s="65">
        <f>COUNTIF(AK342:AK361,"목국")+COUNTIF(AK342:AK361,"목공")</f>
        <v>0</v>
      </c>
      <c r="AB358" s="64" t="s">
        <v>26</v>
      </c>
      <c r="AC358" s="64">
        <f>SUMIF(AJ342:AJ361,"목국",F342:F361)+SUMIF(AJ342:AJ361,"목공",F342:F361)</f>
        <v>0</v>
      </c>
      <c r="AD358" s="65">
        <f>SUMIF(AK342:AK361,"목국",K342:K361)+SUMIF(AK342:AK361,"목공",K342:K361)</f>
        <v>0</v>
      </c>
      <c r="AE358" s="64">
        <f t="shared" si="74"/>
        <v>0</v>
      </c>
      <c r="AF358" s="65">
        <f t="shared" si="75"/>
        <v>0</v>
      </c>
      <c r="AG358" s="64" t="s">
        <v>26</v>
      </c>
      <c r="AH358" s="64">
        <f t="shared" si="76"/>
        <v>0</v>
      </c>
      <c r="AI358" s="65">
        <f t="shared" si="77"/>
        <v>0</v>
      </c>
      <c r="AJ358" s="64" t="str">
        <f t="shared" si="78"/>
        <v/>
      </c>
      <c r="AK358" s="64" t="str">
        <f t="shared" si="79"/>
        <v/>
      </c>
      <c r="AL358" s="66"/>
    </row>
    <row r="359" spans="1:38" s="67" customFormat="1" ht="24" customHeight="1" x14ac:dyDescent="0.15">
      <c r="A359" s="330"/>
      <c r="B359" s="331"/>
      <c r="C359" s="331"/>
      <c r="D359" s="331"/>
      <c r="E359" s="122"/>
      <c r="F359" s="122"/>
      <c r="G359" s="122"/>
      <c r="H359" s="331"/>
      <c r="I359" s="331"/>
      <c r="J359" s="122"/>
      <c r="K359" s="122"/>
      <c r="L359" s="332"/>
      <c r="M359" s="205"/>
      <c r="N359" s="457"/>
      <c r="O359" s="341"/>
      <c r="P359" s="331"/>
      <c r="Q359" s="331"/>
      <c r="R359" s="331"/>
      <c r="S359" s="276"/>
      <c r="T359" s="70"/>
      <c r="U359" s="70"/>
      <c r="V359" s="71"/>
      <c r="W359" s="70"/>
      <c r="X359" s="70"/>
      <c r="Y359" s="71"/>
      <c r="Z359" s="64"/>
      <c r="AA359" s="65"/>
      <c r="AB359" s="70"/>
      <c r="AC359" s="64"/>
      <c r="AD359" s="65"/>
      <c r="AE359" s="70"/>
      <c r="AF359" s="71"/>
      <c r="AG359" s="70"/>
      <c r="AH359" s="70"/>
      <c r="AI359" s="71"/>
      <c r="AJ359" s="64" t="str">
        <f t="shared" si="78"/>
        <v/>
      </c>
      <c r="AK359" s="64" t="str">
        <f t="shared" si="79"/>
        <v/>
      </c>
      <c r="AL359" s="66"/>
    </row>
    <row r="360" spans="1:38" s="67" customFormat="1" ht="24" customHeight="1" x14ac:dyDescent="0.15">
      <c r="A360" s="330"/>
      <c r="B360" s="331"/>
      <c r="C360" s="331"/>
      <c r="D360" s="331"/>
      <c r="E360" s="122"/>
      <c r="F360" s="122"/>
      <c r="G360" s="122"/>
      <c r="H360" s="331"/>
      <c r="I360" s="331"/>
      <c r="J360" s="122"/>
      <c r="K360" s="122"/>
      <c r="L360" s="332"/>
      <c r="M360" s="205"/>
      <c r="N360" s="457"/>
      <c r="O360" s="341"/>
      <c r="P360" s="331"/>
      <c r="Q360" s="331"/>
      <c r="R360" s="331"/>
      <c r="S360" s="276"/>
      <c r="T360" s="70"/>
      <c r="U360" s="70"/>
      <c r="V360" s="71"/>
      <c r="W360" s="70"/>
      <c r="X360" s="70"/>
      <c r="Y360" s="71"/>
      <c r="Z360" s="64"/>
      <c r="AA360" s="65"/>
      <c r="AB360" s="70"/>
      <c r="AC360" s="64"/>
      <c r="AD360" s="65"/>
      <c r="AE360" s="70"/>
      <c r="AF360" s="71"/>
      <c r="AG360" s="70"/>
      <c r="AH360" s="70"/>
      <c r="AI360" s="71"/>
      <c r="AJ360" s="64" t="str">
        <f t="shared" si="78"/>
        <v/>
      </c>
      <c r="AK360" s="64" t="str">
        <f t="shared" si="79"/>
        <v/>
      </c>
      <c r="AL360" s="66"/>
    </row>
    <row r="361" spans="1:38" s="67" customFormat="1" ht="24" customHeight="1" x14ac:dyDescent="0.15">
      <c r="A361" s="379"/>
      <c r="B361" s="331"/>
      <c r="C361" s="380"/>
      <c r="D361" s="380"/>
      <c r="E361" s="381"/>
      <c r="F361" s="381"/>
      <c r="G361" s="381"/>
      <c r="H361" s="380"/>
      <c r="I361" s="380"/>
      <c r="J361" s="381"/>
      <c r="K361" s="381"/>
      <c r="L361" s="382"/>
      <c r="M361" s="383"/>
      <c r="N361" s="458"/>
      <c r="O361" s="459"/>
      <c r="P361" s="380"/>
      <c r="Q361" s="380"/>
      <c r="R361" s="380"/>
      <c r="S361" s="384"/>
      <c r="T361" s="72" t="s">
        <v>37</v>
      </c>
      <c r="U361" s="72">
        <f>COUNTIF(D342:D361,"철")</f>
        <v>0</v>
      </c>
      <c r="V361" s="73">
        <f>COUNTIF(I342:I361,"철")</f>
        <v>0</v>
      </c>
      <c r="W361" s="72" t="s">
        <v>26</v>
      </c>
      <c r="X361" s="72">
        <f>SUMIF(D342:D361,"철",F342:F361)</f>
        <v>0</v>
      </c>
      <c r="Y361" s="73">
        <f>SUMIF(I342:I361,"철",K342:K361)</f>
        <v>0</v>
      </c>
      <c r="Z361" s="64">
        <f>COUNTIF(AJ342:AJ361,"철국")+COUNTIF(AJ342:AJ361,"철공")</f>
        <v>0</v>
      </c>
      <c r="AA361" s="65">
        <f>COUNTIF(AK342:AK361,"철국")+COUNTIF(AK342:AK361,"철공")</f>
        <v>0</v>
      </c>
      <c r="AB361" s="72" t="s">
        <v>26</v>
      </c>
      <c r="AC361" s="64">
        <f>SUMIF(AJ342:AJ361,"철국",F342:F361)+SUMIF(AJ342:AJ361,"철공",F342:F361)</f>
        <v>0</v>
      </c>
      <c r="AD361" s="65">
        <f>SUMIF(AK342:AK361,"철국",K342:K361)+SUMIF(AK342:AK361,"철공",K342:K361)</f>
        <v>0</v>
      </c>
      <c r="AE361" s="72"/>
      <c r="AF361" s="73"/>
      <c r="AG361" s="72"/>
      <c r="AH361" s="72"/>
      <c r="AI361" s="73"/>
      <c r="AJ361" s="64" t="str">
        <f t="shared" si="78"/>
        <v/>
      </c>
      <c r="AK361" s="64" t="str">
        <f t="shared" si="79"/>
        <v/>
      </c>
      <c r="AL361" s="66"/>
    </row>
    <row r="362" spans="1:38" s="67" customFormat="1" ht="24" customHeight="1" thickBot="1" x14ac:dyDescent="0.2">
      <c r="A362" s="147" t="s">
        <v>48</v>
      </c>
      <c r="B362" s="148"/>
      <c r="C362" s="178"/>
      <c r="D362" s="178"/>
      <c r="E362" s="293"/>
      <c r="F362" s="325">
        <f>SUM(F342:F361)</f>
        <v>0</v>
      </c>
      <c r="G362" s="295"/>
      <c r="H362" s="295"/>
      <c r="I362" s="296"/>
      <c r="J362" s="297"/>
      <c r="K362" s="326">
        <f>SUM(K342:K361)</f>
        <v>0</v>
      </c>
      <c r="L362" s="150"/>
      <c r="M362" s="150"/>
      <c r="N362" s="432"/>
      <c r="O362" s="432"/>
      <c r="P362" s="150"/>
      <c r="Q362" s="150"/>
      <c r="R362" s="150"/>
      <c r="S362" s="151"/>
      <c r="T362" s="62" t="s">
        <v>24</v>
      </c>
      <c r="U362" s="63">
        <f t="shared" ref="U362:AA362" si="80">SUM(U342:U361)</f>
        <v>0</v>
      </c>
      <c r="V362" s="63">
        <f t="shared" si="80"/>
        <v>0</v>
      </c>
      <c r="W362" s="63">
        <f t="shared" si="80"/>
        <v>0</v>
      </c>
      <c r="X362" s="63">
        <f t="shared" si="80"/>
        <v>0</v>
      </c>
      <c r="Y362" s="63">
        <f t="shared" si="80"/>
        <v>0</v>
      </c>
      <c r="Z362" s="277">
        <f t="shared" si="80"/>
        <v>0</v>
      </c>
      <c r="AA362" s="278">
        <f t="shared" si="80"/>
        <v>0</v>
      </c>
      <c r="AB362" s="277" t="s">
        <v>26</v>
      </c>
      <c r="AC362" s="277">
        <f>SUM(AC342:AC361)</f>
        <v>0</v>
      </c>
      <c r="AD362" s="278">
        <f>SUM(AD342:AD361)</f>
        <v>0</v>
      </c>
      <c r="AE362" s="63">
        <f>SUM(AE342:AE361)</f>
        <v>0</v>
      </c>
      <c r="AF362" s="63">
        <f>SUM(AF342:AF361)</f>
        <v>0</v>
      </c>
      <c r="AG362" s="63" t="s">
        <v>26</v>
      </c>
      <c r="AH362" s="63">
        <f>SUM(AH342:AH361)</f>
        <v>0</v>
      </c>
      <c r="AI362" s="63">
        <f>SUM(AI342:AI361)</f>
        <v>0</v>
      </c>
      <c r="AJ362" s="63"/>
      <c r="AK362" s="64" t="str">
        <f t="shared" si="79"/>
        <v/>
      </c>
      <c r="AL362" s="66"/>
    </row>
    <row r="363" spans="1:38" ht="21" customHeight="1" x14ac:dyDescent="0.15"/>
    <row r="364" spans="1:38" ht="21" customHeight="1" x14ac:dyDescent="0.15"/>
    <row r="365" spans="1:38" ht="21" customHeight="1" x14ac:dyDescent="0.15"/>
    <row r="366" spans="1:38" ht="21" customHeight="1" x14ac:dyDescent="0.15"/>
    <row r="367" spans="1:38" ht="21" customHeight="1" x14ac:dyDescent="0.15"/>
    <row r="368" spans="1:38" ht="21" customHeight="1" x14ac:dyDescent="0.15"/>
    <row r="369" ht="21" customHeight="1" x14ac:dyDescent="0.15"/>
    <row r="370" ht="21" customHeight="1" x14ac:dyDescent="0.15"/>
    <row r="371" ht="21" customHeight="1" x14ac:dyDescent="0.15"/>
    <row r="372" ht="21" customHeight="1" x14ac:dyDescent="0.15"/>
    <row r="373" ht="21" customHeight="1" x14ac:dyDescent="0.15"/>
    <row r="374" ht="21" customHeight="1" x14ac:dyDescent="0.15"/>
    <row r="375" ht="21" customHeight="1" x14ac:dyDescent="0.15"/>
    <row r="376" ht="21" customHeight="1" x14ac:dyDescent="0.15"/>
    <row r="377" ht="21" customHeight="1" x14ac:dyDescent="0.15"/>
    <row r="378" ht="21" customHeight="1" x14ac:dyDescent="0.15"/>
    <row r="379" ht="21" customHeight="1" x14ac:dyDescent="0.15"/>
    <row r="380" ht="21" customHeight="1" x14ac:dyDescent="0.15"/>
    <row r="381" ht="21" customHeight="1" x14ac:dyDescent="0.15"/>
    <row r="382" ht="21" customHeight="1" x14ac:dyDescent="0.15"/>
    <row r="383" ht="21" customHeight="1" x14ac:dyDescent="0.15"/>
    <row r="384" ht="21" customHeight="1" x14ac:dyDescent="0.15"/>
    <row r="385" ht="21" customHeight="1" x14ac:dyDescent="0.15"/>
    <row r="386" ht="21" customHeight="1" x14ac:dyDescent="0.15"/>
    <row r="387" ht="21" customHeight="1" x14ac:dyDescent="0.15"/>
    <row r="388" ht="21" customHeight="1" x14ac:dyDescent="0.15"/>
    <row r="389" ht="21" customHeight="1" x14ac:dyDescent="0.15"/>
    <row r="390" ht="21" customHeight="1" x14ac:dyDescent="0.15"/>
    <row r="391" ht="21" customHeight="1" x14ac:dyDescent="0.15"/>
    <row r="392" ht="21" customHeight="1" x14ac:dyDescent="0.15"/>
    <row r="393" ht="21" customHeight="1" x14ac:dyDescent="0.15"/>
    <row r="394" ht="21" customHeight="1" x14ac:dyDescent="0.15"/>
    <row r="395" ht="21" customHeight="1" x14ac:dyDescent="0.15"/>
    <row r="396" ht="21" customHeight="1" x14ac:dyDescent="0.15"/>
    <row r="397" ht="21" customHeight="1" x14ac:dyDescent="0.15"/>
    <row r="398" ht="21" customHeight="1" x14ac:dyDescent="0.15"/>
    <row r="399" ht="21" customHeight="1" x14ac:dyDescent="0.15"/>
    <row r="400" ht="21" customHeight="1" x14ac:dyDescent="0.15"/>
    <row r="401" ht="21" customHeight="1" x14ac:dyDescent="0.15"/>
    <row r="402" ht="21" customHeight="1" x14ac:dyDescent="0.15"/>
    <row r="403" ht="21" customHeight="1" x14ac:dyDescent="0.15"/>
    <row r="404" ht="21" customHeight="1" x14ac:dyDescent="0.15"/>
    <row r="405" ht="21" customHeight="1" x14ac:dyDescent="0.15"/>
    <row r="406" ht="21" customHeight="1" x14ac:dyDescent="0.15"/>
    <row r="407" ht="21" customHeight="1" x14ac:dyDescent="0.15"/>
    <row r="408" ht="21" customHeight="1" x14ac:dyDescent="0.15"/>
    <row r="409" ht="21" customHeight="1" x14ac:dyDescent="0.15"/>
    <row r="410" ht="21" customHeight="1" x14ac:dyDescent="0.15"/>
    <row r="411" ht="21" customHeight="1" x14ac:dyDescent="0.15"/>
    <row r="412" ht="21" customHeight="1" x14ac:dyDescent="0.15"/>
    <row r="413" ht="21" customHeight="1" x14ac:dyDescent="0.15"/>
    <row r="414" ht="21" customHeight="1" x14ac:dyDescent="0.15"/>
    <row r="415" ht="21" customHeight="1" x14ac:dyDescent="0.15"/>
    <row r="416" ht="21" customHeight="1" x14ac:dyDescent="0.15"/>
    <row r="417" ht="21" customHeight="1" x14ac:dyDescent="0.15"/>
    <row r="418" ht="21" customHeight="1" x14ac:dyDescent="0.15"/>
    <row r="419" ht="21" customHeight="1" x14ac:dyDescent="0.15"/>
    <row r="420" ht="21" customHeight="1" x14ac:dyDescent="0.15"/>
    <row r="421" ht="21" customHeight="1" x14ac:dyDescent="0.15"/>
    <row r="422" ht="21" customHeight="1" x14ac:dyDescent="0.15"/>
    <row r="423" ht="21" customHeight="1" x14ac:dyDescent="0.15"/>
    <row r="424" ht="21" customHeight="1" x14ac:dyDescent="0.15"/>
    <row r="425" ht="21" customHeight="1" x14ac:dyDescent="0.15"/>
    <row r="426" ht="21" customHeight="1" x14ac:dyDescent="0.15"/>
    <row r="427" ht="21" customHeight="1" x14ac:dyDescent="0.15"/>
    <row r="428" ht="21" customHeight="1" x14ac:dyDescent="0.15"/>
    <row r="429" ht="21" customHeight="1" x14ac:dyDescent="0.15"/>
    <row r="430" ht="21" customHeight="1" x14ac:dyDescent="0.15"/>
    <row r="431" ht="21" customHeight="1" x14ac:dyDescent="0.15"/>
    <row r="432" ht="21" customHeight="1" x14ac:dyDescent="0.15"/>
    <row r="433" ht="21" customHeight="1" x14ac:dyDescent="0.15"/>
    <row r="434" ht="21" customHeight="1" x14ac:dyDescent="0.15"/>
    <row r="435" ht="21" customHeight="1" x14ac:dyDescent="0.15"/>
    <row r="436" ht="21" customHeight="1" x14ac:dyDescent="0.15"/>
    <row r="437" ht="21" customHeight="1" x14ac:dyDescent="0.15"/>
    <row r="438" ht="21" customHeight="1" x14ac:dyDescent="0.15"/>
    <row r="439" ht="21" customHeight="1" x14ac:dyDescent="0.15"/>
    <row r="440" ht="21" customHeight="1" x14ac:dyDescent="0.15"/>
    <row r="441" ht="21" customHeight="1" x14ac:dyDescent="0.15"/>
    <row r="442" ht="21" customHeight="1" x14ac:dyDescent="0.15"/>
    <row r="443" ht="21" customHeight="1" x14ac:dyDescent="0.15"/>
    <row r="444" ht="21" customHeight="1" x14ac:dyDescent="0.15"/>
    <row r="445" ht="21" customHeight="1" x14ac:dyDescent="0.15"/>
    <row r="446" ht="21" customHeight="1" x14ac:dyDescent="0.15"/>
    <row r="447" ht="21" customHeight="1" x14ac:dyDescent="0.15"/>
    <row r="448" ht="21" customHeight="1" x14ac:dyDescent="0.15"/>
    <row r="449" ht="21" customHeight="1" x14ac:dyDescent="0.15"/>
    <row r="450" ht="21" customHeight="1" x14ac:dyDescent="0.15"/>
    <row r="451" ht="21" customHeight="1" x14ac:dyDescent="0.15"/>
    <row r="452" ht="21" customHeight="1" x14ac:dyDescent="0.15"/>
    <row r="453" ht="21" customHeight="1" x14ac:dyDescent="0.15"/>
    <row r="454" ht="21" customHeight="1" x14ac:dyDescent="0.15"/>
    <row r="455" ht="21" customHeight="1" x14ac:dyDescent="0.15"/>
    <row r="456" ht="21" customHeight="1" x14ac:dyDescent="0.15"/>
    <row r="457" ht="21" customHeight="1" x14ac:dyDescent="0.15"/>
    <row r="458" ht="21" customHeight="1" x14ac:dyDescent="0.15"/>
    <row r="459" ht="21" customHeight="1" x14ac:dyDescent="0.15"/>
    <row r="460" ht="21" customHeight="1" x14ac:dyDescent="0.15"/>
    <row r="461" ht="21" customHeight="1" x14ac:dyDescent="0.15"/>
    <row r="462" ht="21" customHeight="1" x14ac:dyDescent="0.15"/>
    <row r="463" ht="21" customHeight="1" x14ac:dyDescent="0.15"/>
    <row r="464" ht="21" customHeight="1" x14ac:dyDescent="0.15"/>
    <row r="465" ht="21" customHeight="1" x14ac:dyDescent="0.15"/>
    <row r="466" ht="21" customHeight="1" x14ac:dyDescent="0.15"/>
    <row r="467" ht="21" customHeight="1" x14ac:dyDescent="0.15"/>
    <row r="468" ht="21" customHeight="1" x14ac:dyDescent="0.15"/>
    <row r="469" ht="21" customHeight="1" x14ac:dyDescent="0.15"/>
    <row r="470" ht="21" customHeight="1" x14ac:dyDescent="0.15"/>
    <row r="471" ht="21" customHeight="1" x14ac:dyDescent="0.15"/>
    <row r="472" ht="21" customHeight="1" x14ac:dyDescent="0.15"/>
    <row r="473" ht="21" customHeight="1" x14ac:dyDescent="0.15"/>
    <row r="474" ht="21" customHeight="1" x14ac:dyDescent="0.15"/>
    <row r="475" ht="21" customHeight="1" x14ac:dyDescent="0.15"/>
    <row r="476" ht="21" customHeight="1" x14ac:dyDescent="0.15"/>
    <row r="477" ht="21" customHeight="1" x14ac:dyDescent="0.15"/>
    <row r="478" ht="21" customHeight="1" x14ac:dyDescent="0.15"/>
    <row r="479" ht="21" customHeight="1" x14ac:dyDescent="0.15"/>
    <row r="480" ht="21" customHeight="1" x14ac:dyDescent="0.15"/>
    <row r="481" ht="21" customHeight="1" x14ac:dyDescent="0.15"/>
    <row r="482" ht="21" customHeight="1" x14ac:dyDescent="0.15"/>
    <row r="483" ht="21" customHeight="1" x14ac:dyDescent="0.15"/>
    <row r="484" ht="21" customHeight="1" x14ac:dyDescent="0.15"/>
    <row r="485" ht="21" customHeight="1" x14ac:dyDescent="0.15"/>
    <row r="486" ht="21" customHeight="1" x14ac:dyDescent="0.15"/>
    <row r="487" ht="21" customHeight="1" x14ac:dyDescent="0.15"/>
    <row r="488" ht="21" customHeight="1" x14ac:dyDescent="0.15"/>
    <row r="489" ht="21" customHeight="1" x14ac:dyDescent="0.15"/>
    <row r="490" ht="21" customHeight="1" x14ac:dyDescent="0.15"/>
    <row r="491" ht="21" customHeight="1" x14ac:dyDescent="0.15"/>
    <row r="492" ht="21" customHeight="1" x14ac:dyDescent="0.15"/>
    <row r="493" ht="21" customHeight="1" x14ac:dyDescent="0.15"/>
    <row r="494" ht="21" customHeight="1" x14ac:dyDescent="0.15"/>
    <row r="495" ht="21" customHeight="1" x14ac:dyDescent="0.15"/>
    <row r="496" ht="21" customHeight="1" x14ac:dyDescent="0.15"/>
    <row r="497" ht="21" customHeight="1" x14ac:dyDescent="0.15"/>
    <row r="498" ht="21" customHeight="1" x14ac:dyDescent="0.15"/>
    <row r="499" ht="21" customHeight="1" x14ac:dyDescent="0.15"/>
    <row r="500" ht="21" customHeight="1" x14ac:dyDescent="0.15"/>
    <row r="501" ht="21" customHeight="1" x14ac:dyDescent="0.15"/>
    <row r="502" ht="21" customHeight="1" x14ac:dyDescent="0.15"/>
    <row r="503" ht="21" customHeight="1" x14ac:dyDescent="0.15"/>
    <row r="504" ht="21" customHeight="1" x14ac:dyDescent="0.15"/>
    <row r="505" ht="21" customHeight="1" x14ac:dyDescent="0.15"/>
    <row r="506" ht="21" customHeight="1" x14ac:dyDescent="0.15"/>
    <row r="507" ht="21" customHeight="1" x14ac:dyDescent="0.15"/>
    <row r="508" ht="21" customHeight="1" x14ac:dyDescent="0.15"/>
    <row r="509" ht="21" customHeight="1" x14ac:dyDescent="0.15"/>
    <row r="510" ht="21" customHeight="1" x14ac:dyDescent="0.15"/>
    <row r="511" ht="21" customHeight="1" x14ac:dyDescent="0.15"/>
    <row r="512" ht="21" customHeight="1" x14ac:dyDescent="0.15"/>
    <row r="513" ht="21" customHeight="1" x14ac:dyDescent="0.15"/>
    <row r="514" ht="21" customHeight="1" x14ac:dyDescent="0.15"/>
    <row r="515" ht="21" customHeight="1" x14ac:dyDescent="0.15"/>
    <row r="516" ht="21" customHeight="1" x14ac:dyDescent="0.15"/>
    <row r="517" ht="21" customHeight="1" x14ac:dyDescent="0.15"/>
    <row r="518" ht="21" customHeight="1" x14ac:dyDescent="0.15"/>
    <row r="519" ht="21" customHeight="1" x14ac:dyDescent="0.15"/>
    <row r="520" ht="21" customHeight="1" x14ac:dyDescent="0.15"/>
    <row r="521" ht="21" customHeight="1" x14ac:dyDescent="0.15"/>
    <row r="522" ht="21" customHeight="1" x14ac:dyDescent="0.15"/>
    <row r="523" ht="21" customHeight="1" x14ac:dyDescent="0.15"/>
    <row r="524" ht="21" customHeight="1" x14ac:dyDescent="0.15"/>
    <row r="525" ht="21" customHeight="1" x14ac:dyDescent="0.15"/>
    <row r="526" ht="21" customHeight="1" x14ac:dyDescent="0.15"/>
    <row r="527" ht="21" customHeight="1" x14ac:dyDescent="0.15"/>
    <row r="528" ht="21" customHeight="1" x14ac:dyDescent="0.15"/>
    <row r="529" ht="21" customHeight="1" x14ac:dyDescent="0.15"/>
    <row r="530" ht="21" customHeight="1" x14ac:dyDescent="0.15"/>
    <row r="531" ht="21" customHeight="1" x14ac:dyDescent="0.15"/>
    <row r="532" ht="21" customHeight="1" x14ac:dyDescent="0.15"/>
    <row r="533" ht="21" customHeight="1" x14ac:dyDescent="0.15"/>
    <row r="534" ht="21" customHeight="1" x14ac:dyDescent="0.15"/>
    <row r="535" ht="21" customHeight="1" x14ac:dyDescent="0.15"/>
    <row r="536" ht="21" customHeight="1" x14ac:dyDescent="0.15"/>
    <row r="537" ht="21" customHeight="1" x14ac:dyDescent="0.15"/>
    <row r="538" ht="21" customHeight="1" x14ac:dyDescent="0.15"/>
    <row r="539" ht="21" customHeight="1" x14ac:dyDescent="0.15"/>
    <row r="540" ht="21" customHeight="1" x14ac:dyDescent="0.15"/>
    <row r="541" ht="21" customHeight="1" x14ac:dyDescent="0.15"/>
    <row r="542" ht="21" customHeight="1" x14ac:dyDescent="0.15"/>
    <row r="543" ht="21" customHeight="1" x14ac:dyDescent="0.15"/>
    <row r="544" ht="21" customHeight="1" x14ac:dyDescent="0.15"/>
    <row r="545" ht="21" customHeight="1" x14ac:dyDescent="0.15"/>
    <row r="546" ht="21" customHeight="1" x14ac:dyDescent="0.15"/>
    <row r="547" ht="21" customHeight="1" x14ac:dyDescent="0.15"/>
    <row r="548" ht="21" customHeight="1" x14ac:dyDescent="0.15"/>
    <row r="549" ht="21" customHeight="1" x14ac:dyDescent="0.15"/>
    <row r="550" ht="21" customHeight="1" x14ac:dyDescent="0.15"/>
    <row r="551" ht="21" customHeight="1" x14ac:dyDescent="0.15"/>
    <row r="552" ht="21" customHeight="1" x14ac:dyDescent="0.15"/>
    <row r="553" ht="21" customHeight="1" x14ac:dyDescent="0.15"/>
    <row r="554" ht="21" customHeight="1" x14ac:dyDescent="0.15"/>
    <row r="555" ht="21" customHeight="1" x14ac:dyDescent="0.15"/>
    <row r="556" ht="21" customHeight="1" x14ac:dyDescent="0.15"/>
    <row r="557" ht="21" customHeight="1" x14ac:dyDescent="0.15"/>
    <row r="558" ht="21" customHeight="1" x14ac:dyDescent="0.15"/>
    <row r="559" ht="21" customHeight="1" x14ac:dyDescent="0.15"/>
    <row r="560" ht="21" customHeight="1" x14ac:dyDescent="0.15"/>
    <row r="561" ht="21" customHeight="1" x14ac:dyDescent="0.15"/>
    <row r="562" ht="21" customHeight="1" x14ac:dyDescent="0.15"/>
    <row r="563" ht="21" customHeight="1" x14ac:dyDescent="0.15"/>
    <row r="564" ht="21" customHeight="1" x14ac:dyDescent="0.15"/>
    <row r="565" ht="21" customHeight="1" x14ac:dyDescent="0.15"/>
    <row r="566" ht="21" customHeight="1" x14ac:dyDescent="0.15"/>
    <row r="567" ht="21" customHeight="1" x14ac:dyDescent="0.15"/>
    <row r="568" ht="21" customHeight="1" x14ac:dyDescent="0.15"/>
    <row r="569" ht="21" customHeight="1" x14ac:dyDescent="0.15"/>
    <row r="570" ht="21" customHeight="1" x14ac:dyDescent="0.15"/>
    <row r="571" ht="21" customHeight="1" x14ac:dyDescent="0.15"/>
    <row r="572" ht="21" customHeight="1" x14ac:dyDescent="0.15"/>
    <row r="573" ht="21" customHeight="1" x14ac:dyDescent="0.15"/>
    <row r="574" ht="21" customHeight="1" x14ac:dyDescent="0.15"/>
    <row r="575" ht="21" customHeight="1" x14ac:dyDescent="0.15"/>
    <row r="576" ht="21" customHeight="1" x14ac:dyDescent="0.15"/>
    <row r="577" ht="21" customHeight="1" x14ac:dyDescent="0.15"/>
    <row r="578" ht="21" customHeight="1" x14ac:dyDescent="0.15"/>
    <row r="579" ht="21" customHeight="1" x14ac:dyDescent="0.15"/>
    <row r="580" ht="21" customHeight="1" x14ac:dyDescent="0.15"/>
    <row r="581" ht="21" customHeight="1" x14ac:dyDescent="0.15"/>
    <row r="582" ht="21" customHeight="1" x14ac:dyDescent="0.15"/>
    <row r="583" ht="21" customHeight="1" x14ac:dyDescent="0.15"/>
    <row r="584" ht="21" customHeight="1" x14ac:dyDescent="0.15"/>
    <row r="585" ht="21" customHeight="1" x14ac:dyDescent="0.15"/>
    <row r="586" ht="21" customHeight="1" x14ac:dyDescent="0.15"/>
    <row r="587" ht="21" customHeight="1" x14ac:dyDescent="0.15"/>
    <row r="588" ht="21" customHeight="1" x14ac:dyDescent="0.15"/>
    <row r="589" ht="21" customHeight="1" x14ac:dyDescent="0.15"/>
    <row r="590" ht="21" customHeight="1" x14ac:dyDescent="0.15"/>
    <row r="591" ht="21" customHeight="1" x14ac:dyDescent="0.15"/>
    <row r="592" ht="21" customHeight="1" x14ac:dyDescent="0.15"/>
    <row r="593" ht="21" customHeight="1" x14ac:dyDescent="0.15"/>
    <row r="594" ht="21" customHeight="1" x14ac:dyDescent="0.15"/>
    <row r="595" ht="21" customHeight="1" x14ac:dyDescent="0.15"/>
    <row r="596" ht="21" customHeight="1" x14ac:dyDescent="0.15"/>
    <row r="597" ht="21" customHeight="1" x14ac:dyDescent="0.15"/>
    <row r="598" ht="21" customHeight="1" x14ac:dyDescent="0.15"/>
    <row r="599" ht="21" customHeight="1" x14ac:dyDescent="0.15"/>
    <row r="600" ht="21" customHeight="1" x14ac:dyDescent="0.15"/>
    <row r="601" ht="21" customHeight="1" x14ac:dyDescent="0.15"/>
    <row r="602" ht="21" customHeight="1" x14ac:dyDescent="0.15"/>
    <row r="603" ht="21" customHeight="1" x14ac:dyDescent="0.15"/>
    <row r="604" ht="21" customHeight="1" x14ac:dyDescent="0.15"/>
    <row r="605" ht="21" customHeight="1" x14ac:dyDescent="0.15"/>
    <row r="606" ht="21" customHeight="1" x14ac:dyDescent="0.15"/>
    <row r="607" ht="21" customHeight="1" x14ac:dyDescent="0.15"/>
    <row r="608" ht="21" customHeight="1" x14ac:dyDescent="0.15"/>
    <row r="609" ht="21" customHeight="1" x14ac:dyDescent="0.15"/>
    <row r="610" ht="21" customHeight="1" x14ac:dyDescent="0.15"/>
    <row r="611" ht="21" customHeight="1" x14ac:dyDescent="0.15"/>
    <row r="612" ht="21" customHeight="1" x14ac:dyDescent="0.15"/>
    <row r="613" ht="21" customHeight="1" x14ac:dyDescent="0.15"/>
    <row r="614" ht="21" customHeight="1" x14ac:dyDescent="0.15"/>
    <row r="615" ht="21" customHeight="1" x14ac:dyDescent="0.15"/>
    <row r="616" ht="21" customHeight="1" x14ac:dyDescent="0.15"/>
    <row r="617" ht="21" customHeight="1" x14ac:dyDescent="0.15"/>
    <row r="618" ht="21" customHeight="1" x14ac:dyDescent="0.15"/>
    <row r="619" ht="21" customHeight="1" x14ac:dyDescent="0.15"/>
    <row r="620" ht="21" customHeight="1" x14ac:dyDescent="0.15"/>
    <row r="621" ht="21" customHeight="1" x14ac:dyDescent="0.15"/>
    <row r="622" ht="21" customHeight="1" x14ac:dyDescent="0.15"/>
    <row r="623" ht="21" customHeight="1" x14ac:dyDescent="0.15"/>
    <row r="624" ht="21" customHeight="1" x14ac:dyDescent="0.15"/>
    <row r="625" ht="21" customHeight="1" x14ac:dyDescent="0.15"/>
    <row r="626" ht="21" customHeight="1" x14ac:dyDescent="0.15"/>
    <row r="627" ht="21" customHeight="1" x14ac:dyDescent="0.15"/>
    <row r="628" ht="21" customHeight="1" x14ac:dyDescent="0.15"/>
    <row r="629" ht="21" customHeight="1" x14ac:dyDescent="0.15"/>
    <row r="630" ht="21" customHeight="1" x14ac:dyDescent="0.15"/>
    <row r="631" ht="21" customHeight="1" x14ac:dyDescent="0.15"/>
    <row r="632" ht="21" customHeight="1" x14ac:dyDescent="0.15"/>
    <row r="633" ht="21" customHeight="1" x14ac:dyDescent="0.15"/>
    <row r="634" ht="21" customHeight="1" x14ac:dyDescent="0.15"/>
    <row r="635" ht="21" customHeight="1" x14ac:dyDescent="0.15"/>
    <row r="636" ht="21" customHeight="1" x14ac:dyDescent="0.15"/>
    <row r="637" ht="21" customHeight="1" x14ac:dyDescent="0.15"/>
    <row r="638" ht="21" customHeight="1" x14ac:dyDescent="0.15"/>
    <row r="639" ht="21" customHeight="1" x14ac:dyDescent="0.15"/>
    <row r="640" ht="21" customHeight="1" x14ac:dyDescent="0.15"/>
    <row r="641" ht="21" customHeight="1" x14ac:dyDescent="0.15"/>
    <row r="642" ht="21" customHeight="1" x14ac:dyDescent="0.15"/>
    <row r="643" ht="21" customHeight="1" x14ac:dyDescent="0.15"/>
    <row r="644" ht="21" customHeight="1" x14ac:dyDescent="0.15"/>
    <row r="645" ht="21" customHeight="1" x14ac:dyDescent="0.15"/>
    <row r="646" ht="21" customHeight="1" x14ac:dyDescent="0.15"/>
    <row r="647" ht="21" customHeight="1" x14ac:dyDescent="0.15"/>
    <row r="648" ht="21" customHeight="1" x14ac:dyDescent="0.15"/>
    <row r="649" ht="21" customHeight="1" x14ac:dyDescent="0.15"/>
    <row r="650" ht="21" customHeight="1" x14ac:dyDescent="0.15"/>
    <row r="651" ht="21" customHeight="1" x14ac:dyDescent="0.15"/>
    <row r="652" ht="21" customHeight="1" x14ac:dyDescent="0.15"/>
    <row r="653" ht="21" customHeight="1" x14ac:dyDescent="0.15"/>
    <row r="654" ht="21" customHeight="1" x14ac:dyDescent="0.15"/>
    <row r="655" ht="21" customHeight="1" x14ac:dyDescent="0.15"/>
    <row r="656" ht="21" customHeight="1" x14ac:dyDescent="0.15"/>
    <row r="657" ht="21" customHeight="1" x14ac:dyDescent="0.15"/>
    <row r="658" ht="21" customHeight="1" x14ac:dyDescent="0.15"/>
  </sheetData>
  <autoFilter ref="A5:AM362"/>
  <mergeCells count="7">
    <mergeCell ref="S4:S5"/>
    <mergeCell ref="A4:A5"/>
    <mergeCell ref="G4:K4"/>
    <mergeCell ref="N4:O4"/>
    <mergeCell ref="A152:E152"/>
    <mergeCell ref="B4:B5"/>
    <mergeCell ref="C4:F4"/>
  </mergeCells>
  <phoneticPr fontId="4" type="noConversion"/>
  <printOptions horizontalCentered="1"/>
  <pageMargins left="0.51181102362204722" right="0.23622047244094491" top="0.43307086614173229" bottom="7.874015748031496E-2" header="0.19685039370078741" footer="0"/>
  <pageSetup paperSize="9" scale="82" orientation="landscape" horizontalDpi="1200" verticalDpi="1200" r:id="rId1"/>
  <headerFooter alignWithMargins="0">
    <oddHeader xml:space="preserve">&amp;C
</oddHeader>
    <oddFooter xml:space="preserve">&amp;C
</oddFooter>
  </headerFooter>
  <rowBreaks count="16" manualBreakCount="16">
    <brk id="26" max="16383" man="1"/>
    <brk id="47" max="16383" man="1"/>
    <brk id="68" max="18" man="1"/>
    <brk id="89" max="18" man="1"/>
    <brk id="110" max="16383" man="1"/>
    <brk id="131" max="18" man="1"/>
    <brk id="152" max="18" man="1"/>
    <brk id="173" max="18" man="1"/>
    <brk id="194" max="18" man="1"/>
    <brk id="215" max="18" man="1"/>
    <brk id="236" max="18" man="1"/>
    <brk id="257" max="18" man="1"/>
    <brk id="278" max="18" man="1"/>
    <brk id="299" max="18" man="1"/>
    <brk id="320" max="18" man="1"/>
    <brk id="34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Normal="100" zoomScaleSheetLayoutView="100" workbookViewId="0">
      <selection activeCell="E16" sqref="E16"/>
    </sheetView>
  </sheetViews>
  <sheetFormatPr defaultRowHeight="13.5" x14ac:dyDescent="0.15"/>
  <cols>
    <col min="8" max="8" width="8.88671875" customWidth="1"/>
  </cols>
  <sheetData>
    <row r="1" spans="1:11" x14ac:dyDescent="0.15">
      <c r="A1" t="s">
        <v>206</v>
      </c>
      <c r="B1" t="s">
        <v>28</v>
      </c>
      <c r="C1">
        <v>185</v>
      </c>
      <c r="D1">
        <v>17</v>
      </c>
      <c r="G1" t="s">
        <v>199</v>
      </c>
      <c r="H1" t="s">
        <v>211</v>
      </c>
      <c r="I1" t="s">
        <v>209</v>
      </c>
      <c r="J1" t="s">
        <v>210</v>
      </c>
      <c r="K1" t="s">
        <v>208</v>
      </c>
    </row>
    <row r="2" spans="1:11" x14ac:dyDescent="0.15">
      <c r="A2" t="s">
        <v>207</v>
      </c>
      <c r="B2" t="s">
        <v>28</v>
      </c>
      <c r="C2">
        <v>183</v>
      </c>
      <c r="D2">
        <v>22</v>
      </c>
      <c r="G2" t="s">
        <v>155</v>
      </c>
      <c r="H2" t="s">
        <v>184</v>
      </c>
    </row>
    <row r="3" spans="1:11" x14ac:dyDescent="0.15">
      <c r="A3" t="s">
        <v>205</v>
      </c>
      <c r="B3" t="s">
        <v>154</v>
      </c>
      <c r="C3">
        <v>47</v>
      </c>
      <c r="D3">
        <v>2</v>
      </c>
      <c r="G3" t="s">
        <v>155</v>
      </c>
      <c r="H3" t="s">
        <v>188</v>
      </c>
    </row>
    <row r="4" spans="1:11" x14ac:dyDescent="0.15">
      <c r="A4" t="s">
        <v>200</v>
      </c>
      <c r="B4" t="s">
        <v>156</v>
      </c>
      <c r="C4">
        <v>1041</v>
      </c>
      <c r="D4">
        <v>18</v>
      </c>
      <c r="G4" t="s">
        <v>203</v>
      </c>
      <c r="H4" t="s">
        <v>204</v>
      </c>
    </row>
    <row r="5" spans="1:11" x14ac:dyDescent="0.15">
      <c r="A5" t="s">
        <v>201</v>
      </c>
      <c r="B5" t="s">
        <v>156</v>
      </c>
      <c r="C5">
        <v>313</v>
      </c>
      <c r="D5">
        <v>16</v>
      </c>
      <c r="G5" t="s">
        <v>203</v>
      </c>
      <c r="H5" t="s">
        <v>204</v>
      </c>
    </row>
    <row r="6" spans="1:11" x14ac:dyDescent="0.15">
      <c r="A6" t="s">
        <v>202</v>
      </c>
      <c r="B6" t="s">
        <v>156</v>
      </c>
      <c r="C6">
        <v>661</v>
      </c>
      <c r="D6">
        <v>12</v>
      </c>
      <c r="G6" t="s">
        <v>203</v>
      </c>
      <c r="H6" t="s">
        <v>204</v>
      </c>
    </row>
  </sheetData>
  <phoneticPr fontId="3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10</vt:i4>
      </vt:variant>
    </vt:vector>
  </HeadingPairs>
  <TitlesOfParts>
    <vt:vector size="17" baseType="lpstr">
      <vt:lpstr>전체집계(총괄)</vt:lpstr>
      <vt:lpstr>변경집계</vt:lpstr>
      <vt:lpstr>대곡리</vt:lpstr>
      <vt:lpstr>두미리</vt:lpstr>
      <vt:lpstr>반곡리</vt:lpstr>
      <vt:lpstr>1</vt:lpstr>
      <vt:lpstr>Sheet1</vt:lpstr>
      <vt:lpstr>'1'!Print_Area</vt:lpstr>
      <vt:lpstr>대곡리!Print_Area</vt:lpstr>
      <vt:lpstr>두미리!Print_Area</vt:lpstr>
      <vt:lpstr>반곡리!Print_Area</vt:lpstr>
      <vt:lpstr>변경집계!Print_Area</vt:lpstr>
      <vt:lpstr>'전체집계(총괄)'!Print_Area</vt:lpstr>
      <vt:lpstr>'1'!Print_Titles</vt:lpstr>
      <vt:lpstr>대곡리!Print_Titles</vt:lpstr>
      <vt:lpstr>두미리!Print_Titles</vt:lpstr>
      <vt:lpstr>반곡리!Print_Titles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지동학</dc:creator>
  <cp:lastModifiedBy>USER</cp:lastModifiedBy>
  <cp:lastPrinted>2024-12-16T07:47:42Z</cp:lastPrinted>
  <dcterms:created xsi:type="dcterms:W3CDTF">1999-03-05T23:18:00Z</dcterms:created>
  <dcterms:modified xsi:type="dcterms:W3CDTF">2025-03-05T10:44:29Z</dcterms:modified>
</cp:coreProperties>
</file>