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1 하천계획\04 하천기본계획\03 용역추진\01 도청추진\2025 도 추진\00. 용역발주(수입천 ,내촌천 실시설계 및 동해안권 기본계획)\04.집행계획 공고\"/>
    </mc:Choice>
  </mc:AlternateContent>
  <bookViews>
    <workbookView xWindow="-15" yWindow="-15" windowWidth="14400" windowHeight="12720" tabRatio="871"/>
  </bookViews>
  <sheets>
    <sheet name="입력" sheetId="25" r:id="rId1"/>
    <sheet name="총괄표" sheetId="15" r:id="rId2"/>
    <sheet name="참여기술자" sheetId="14" r:id="rId3"/>
    <sheet name="유사용역 " sheetId="8" r:id="rId4"/>
    <sheet name="신용도" sheetId="24" r:id="rId5"/>
    <sheet name="기술개발및투자실적" sheetId="23" r:id="rId6"/>
    <sheet name="업무중첩도" sheetId="16" r:id="rId7"/>
    <sheet name="가점" sheetId="21" r:id="rId8"/>
  </sheets>
  <definedNames>
    <definedName name="_xlnm.Print_Area" localSheetId="7">가점!$A$1:$D$32</definedName>
    <definedName name="_xlnm.Print_Area" localSheetId="5">기술개발및투자실적!$A$1:$D$100</definedName>
    <definedName name="_xlnm.Print_Area" localSheetId="4">신용도!$A$1:$E$111</definedName>
    <definedName name="_xlnm.Print_Area" localSheetId="6">업무중첩도!$A$1:$E$66</definedName>
    <definedName name="_xlnm.Print_Area" localSheetId="3">'유사용역 '!$A$1:$D$101</definedName>
    <definedName name="_xlnm.Print_Area" localSheetId="2">참여기술자!$A$1:$E$165</definedName>
    <definedName name="_xlnm.Print_Area" localSheetId="1">총괄표!$A$1:$E$46</definedName>
  </definedNames>
  <calcPr calcId="162913"/>
</workbook>
</file>

<file path=xl/calcChain.xml><?xml version="1.0" encoding="utf-8"?>
<calcChain xmlns="http://schemas.openxmlformats.org/spreadsheetml/2006/main">
  <c r="D20" i="8" l="1"/>
  <c r="E153" i="14"/>
  <c r="E150" i="14"/>
  <c r="E147" i="14"/>
  <c r="E144" i="14"/>
  <c r="E140" i="14"/>
  <c r="E137" i="14"/>
  <c r="E134" i="14"/>
  <c r="E131" i="14"/>
  <c r="E127" i="14"/>
  <c r="E29" i="14"/>
  <c r="E22" i="14"/>
  <c r="E165" i="14" l="1"/>
  <c r="D74" i="23"/>
  <c r="D65" i="23"/>
  <c r="E63" i="16" l="1"/>
  <c r="E59" i="16"/>
  <c r="E55" i="16"/>
  <c r="E51" i="16"/>
  <c r="E43" i="16"/>
  <c r="E39" i="16"/>
  <c r="E35" i="16"/>
  <c r="E31" i="16"/>
  <c r="E23" i="16"/>
  <c r="E19" i="16"/>
  <c r="E15" i="16"/>
  <c r="E11" i="16"/>
  <c r="E5" i="16"/>
  <c r="E84" i="24"/>
  <c r="E81" i="24"/>
  <c r="E78" i="24"/>
  <c r="E75" i="24"/>
  <c r="E71" i="24"/>
  <c r="E68" i="24"/>
  <c r="E65" i="24"/>
  <c r="E62" i="24"/>
  <c r="E58" i="24"/>
  <c r="E32" i="24"/>
  <c r="E31" i="24"/>
  <c r="E30" i="24"/>
  <c r="E29" i="24"/>
  <c r="E28" i="24"/>
  <c r="E159" i="14"/>
  <c r="E158" i="14"/>
  <c r="D25" i="15"/>
  <c r="D95" i="8"/>
  <c r="D90" i="8"/>
  <c r="D85" i="8"/>
  <c r="D96" i="8"/>
  <c r="D91" i="8"/>
  <c r="D93" i="8" s="1"/>
  <c r="D86" i="8"/>
  <c r="D81" i="8"/>
  <c r="D80" i="8"/>
  <c r="D76" i="8"/>
  <c r="D75" i="8"/>
  <c r="D87" i="8"/>
  <c r="D97" i="8"/>
  <c r="D94" i="8"/>
  <c r="D92" i="8"/>
  <c r="D89" i="8"/>
  <c r="D84" i="8"/>
  <c r="D82" i="8"/>
  <c r="D79" i="8"/>
  <c r="D77" i="8"/>
  <c r="D78" i="8" s="1"/>
  <c r="D74" i="8"/>
  <c r="A73" i="8"/>
  <c r="B94" i="8"/>
  <c r="B89" i="8"/>
  <c r="B84" i="8"/>
  <c r="B79" i="8"/>
  <c r="B74" i="8"/>
  <c r="D98" i="8" l="1"/>
  <c r="D88" i="8"/>
  <c r="D83" i="8"/>
  <c r="D99" i="8" l="1"/>
  <c r="D100" i="8" s="1"/>
  <c r="E29" i="15" s="1"/>
  <c r="AC31" i="25" l="1"/>
  <c r="D67" i="8" l="1"/>
  <c r="D62" i="8"/>
  <c r="D57" i="8"/>
  <c r="D52" i="8"/>
  <c r="D47" i="8"/>
  <c r="D29" i="21" l="1"/>
  <c r="D28" i="21"/>
  <c r="B20" i="21" l="1"/>
  <c r="B16" i="21"/>
  <c r="B12" i="21"/>
  <c r="B8" i="21"/>
  <c r="B4" i="21"/>
  <c r="D4" i="8" l="1"/>
  <c r="D6" i="25"/>
  <c r="C62" i="16" l="1"/>
  <c r="C58" i="16"/>
  <c r="C54" i="16"/>
  <c r="C50" i="16"/>
  <c r="C4" i="16"/>
  <c r="B93" i="23"/>
  <c r="B87" i="23"/>
  <c r="B81" i="23"/>
  <c r="B75" i="23"/>
  <c r="B69" i="23"/>
  <c r="B59" i="23"/>
  <c r="B54" i="23"/>
  <c r="B49" i="23"/>
  <c r="B44" i="23"/>
  <c r="B39" i="23"/>
  <c r="B28" i="23"/>
  <c r="B22" i="23"/>
  <c r="B16" i="23"/>
  <c r="B10" i="23"/>
  <c r="B4" i="23"/>
  <c r="B107" i="24"/>
  <c r="B103" i="24"/>
  <c r="B99" i="24"/>
  <c r="B95" i="24"/>
  <c r="B91" i="24"/>
  <c r="B50" i="24"/>
  <c r="B47" i="24"/>
  <c r="B44" i="24"/>
  <c r="B41" i="24"/>
  <c r="B38" i="24"/>
  <c r="B21" i="24"/>
  <c r="B17" i="24"/>
  <c r="B13" i="24"/>
  <c r="B9" i="24"/>
  <c r="B5" i="24"/>
  <c r="B64" i="8"/>
  <c r="B59" i="8"/>
  <c r="B54" i="8"/>
  <c r="B49" i="8"/>
  <c r="B44" i="8"/>
  <c r="B36" i="8"/>
  <c r="B33" i="8"/>
  <c r="B30" i="8"/>
  <c r="B27" i="8"/>
  <c r="B24" i="8"/>
  <c r="B16" i="8"/>
  <c r="B13" i="8"/>
  <c r="B10" i="8"/>
  <c r="B7" i="8"/>
  <c r="B4" i="8"/>
  <c r="C85" i="14"/>
  <c r="C82" i="14"/>
  <c r="C79" i="14"/>
  <c r="C76" i="14"/>
  <c r="C36" i="14"/>
  <c r="C33" i="14"/>
  <c r="C30" i="14"/>
  <c r="C27" i="14"/>
  <c r="C8" i="14"/>
  <c r="D30" i="21"/>
  <c r="D31" i="21" s="1"/>
  <c r="D32" i="21" s="1"/>
  <c r="D44" i="15"/>
  <c r="C42" i="16" l="1"/>
  <c r="C38" i="16"/>
  <c r="C34" i="16"/>
  <c r="C30" i="16"/>
  <c r="C22" i="16"/>
  <c r="C18" i="16"/>
  <c r="C14" i="16"/>
  <c r="C10" i="16"/>
  <c r="C77" i="24"/>
  <c r="C80" i="24"/>
  <c r="C83" i="24"/>
  <c r="C74" i="24"/>
  <c r="C64" i="24"/>
  <c r="C67" i="24"/>
  <c r="C70" i="24"/>
  <c r="C61" i="24"/>
  <c r="C57" i="24"/>
  <c r="A23" i="8"/>
  <c r="C145" i="14"/>
  <c r="C148" i="14"/>
  <c r="C151" i="14"/>
  <c r="C142" i="14"/>
  <c r="C132" i="14"/>
  <c r="C135" i="14"/>
  <c r="C138" i="14"/>
  <c r="C129" i="14"/>
  <c r="C125" i="14"/>
  <c r="C95" i="14"/>
  <c r="C111" i="14" s="1"/>
  <c r="C98" i="14"/>
  <c r="C114" i="14" s="1"/>
  <c r="C101" i="14"/>
  <c r="C117" i="14" s="1"/>
  <c r="C92" i="14"/>
  <c r="C108" i="14" s="1"/>
  <c r="C46" i="14"/>
  <c r="C62" i="14" s="1"/>
  <c r="C49" i="14"/>
  <c r="C65" i="14" s="1"/>
  <c r="C52" i="14"/>
  <c r="C68" i="14" s="1"/>
  <c r="C43" i="14"/>
  <c r="C59" i="14" s="1"/>
  <c r="C20" i="14"/>
  <c r="C14" i="14"/>
  <c r="B2" i="15"/>
  <c r="B2" i="14" s="1"/>
  <c r="E46" i="15" l="1"/>
  <c r="D49" i="8"/>
  <c r="D50" i="8" s="1"/>
  <c r="D44" i="8"/>
  <c r="D45" i="8" s="1"/>
  <c r="E62" i="16" l="1"/>
  <c r="E58" i="16"/>
  <c r="E54" i="16"/>
  <c r="E50" i="16"/>
  <c r="E7" i="14"/>
  <c r="E160" i="14"/>
  <c r="E24" i="15" s="1"/>
  <c r="E2" i="16"/>
  <c r="D20" i="21"/>
  <c r="D21" i="21" s="1"/>
  <c r="D16" i="21"/>
  <c r="D17" i="21" s="1"/>
  <c r="D12" i="21"/>
  <c r="D13" i="21" s="1"/>
  <c r="D8" i="21"/>
  <c r="D9" i="21" s="1"/>
  <c r="D4" i="21"/>
  <c r="D5" i="21" s="1"/>
  <c r="A1" i="15"/>
  <c r="E85" i="24"/>
  <c r="E82" i="24"/>
  <c r="E79" i="24"/>
  <c r="E76" i="24"/>
  <c r="E72" i="24"/>
  <c r="E69" i="24"/>
  <c r="E66" i="24"/>
  <c r="E63" i="24"/>
  <c r="E59" i="24"/>
  <c r="E50" i="24"/>
  <c r="E47" i="24"/>
  <c r="E44" i="24"/>
  <c r="E41" i="24"/>
  <c r="E38" i="24"/>
  <c r="E22" i="24"/>
  <c r="E18" i="24"/>
  <c r="E14" i="24"/>
  <c r="E10" i="24"/>
  <c r="E6" i="24"/>
  <c r="E108" i="24"/>
  <c r="E107" i="24"/>
  <c r="E104" i="24"/>
  <c r="E103" i="24"/>
  <c r="E100" i="24"/>
  <c r="E99" i="24"/>
  <c r="E96" i="24"/>
  <c r="E95" i="24"/>
  <c r="E92" i="24"/>
  <c r="D95" i="23"/>
  <c r="D94" i="23"/>
  <c r="D93" i="23"/>
  <c r="D89" i="23"/>
  <c r="D88" i="23"/>
  <c r="D87" i="23"/>
  <c r="D83" i="23"/>
  <c r="D82" i="23"/>
  <c r="D81" i="23"/>
  <c r="D77" i="23"/>
  <c r="D76" i="23"/>
  <c r="D75" i="23"/>
  <c r="D71" i="23"/>
  <c r="D70" i="23"/>
  <c r="D69" i="23"/>
  <c r="D60" i="23"/>
  <c r="D61" i="23" s="1"/>
  <c r="D59" i="23"/>
  <c r="D55" i="23"/>
  <c r="D56" i="23" s="1"/>
  <c r="D54" i="23"/>
  <c r="D50" i="23"/>
  <c r="D51" i="23" s="1"/>
  <c r="D49" i="23"/>
  <c r="D45" i="23"/>
  <c r="D44" i="23"/>
  <c r="D40" i="23"/>
  <c r="D39" i="23"/>
  <c r="D30" i="23"/>
  <c r="D29" i="23"/>
  <c r="D28" i="23"/>
  <c r="D24" i="23"/>
  <c r="D23" i="23"/>
  <c r="D22" i="23"/>
  <c r="D18" i="23"/>
  <c r="D17" i="23"/>
  <c r="D16" i="23"/>
  <c r="D12" i="23"/>
  <c r="D11" i="23"/>
  <c r="D10" i="23"/>
  <c r="D6" i="23"/>
  <c r="D5" i="23"/>
  <c r="D4" i="23"/>
  <c r="E23" i="24"/>
  <c r="E21" i="24"/>
  <c r="E19" i="24"/>
  <c r="E17" i="24"/>
  <c r="E15" i="24"/>
  <c r="E13" i="24"/>
  <c r="E11" i="24"/>
  <c r="E9" i="24"/>
  <c r="E7" i="24"/>
  <c r="E5" i="24"/>
  <c r="E91" i="24"/>
  <c r="D66" i="8"/>
  <c r="D64" i="8"/>
  <c r="D65" i="8" s="1"/>
  <c r="D61" i="8"/>
  <c r="D59" i="8"/>
  <c r="D60" i="8" s="1"/>
  <c r="D56" i="8"/>
  <c r="D54" i="8"/>
  <c r="D55" i="8" s="1"/>
  <c r="D51" i="8"/>
  <c r="D53" i="8" s="1"/>
  <c r="D46" i="8"/>
  <c r="D48" i="8" s="1"/>
  <c r="D37" i="8"/>
  <c r="D36" i="8"/>
  <c r="D34" i="8"/>
  <c r="D33" i="8"/>
  <c r="D31" i="8"/>
  <c r="D30" i="8"/>
  <c r="D28" i="8"/>
  <c r="D27" i="8"/>
  <c r="D25" i="8"/>
  <c r="D24" i="8"/>
  <c r="D17" i="8"/>
  <c r="E109" i="24" s="1"/>
  <c r="D14" i="8"/>
  <c r="E51" i="24" s="1"/>
  <c r="D13" i="8"/>
  <c r="D16" i="8"/>
  <c r="D11" i="8"/>
  <c r="E101" i="24" s="1"/>
  <c r="D10" i="8"/>
  <c r="D8" i="8"/>
  <c r="E97" i="24" s="1"/>
  <c r="D7" i="8"/>
  <c r="D5" i="8"/>
  <c r="D73" i="23" s="1"/>
  <c r="E152" i="14"/>
  <c r="E151" i="14"/>
  <c r="E149" i="14"/>
  <c r="E148" i="14"/>
  <c r="E146" i="14"/>
  <c r="E145" i="14"/>
  <c r="E143" i="14"/>
  <c r="E142" i="14"/>
  <c r="E139" i="14"/>
  <c r="E138" i="14"/>
  <c r="E136" i="14"/>
  <c r="E135" i="14"/>
  <c r="E133" i="14"/>
  <c r="E132" i="14"/>
  <c r="E130" i="14"/>
  <c r="E129" i="14"/>
  <c r="E126" i="14"/>
  <c r="E125" i="14"/>
  <c r="E118" i="14"/>
  <c r="E119" i="14" s="1"/>
  <c r="E115" i="14"/>
  <c r="E116" i="14" s="1"/>
  <c r="E112" i="14"/>
  <c r="E113" i="14" s="1"/>
  <c r="E109" i="14"/>
  <c r="E110" i="14" s="1"/>
  <c r="E117" i="14"/>
  <c r="E114" i="14"/>
  <c r="E111" i="14"/>
  <c r="E108" i="14"/>
  <c r="E102" i="14"/>
  <c r="E103" i="14" s="1"/>
  <c r="E101" i="14"/>
  <c r="E99" i="14"/>
  <c r="E100" i="14" s="1"/>
  <c r="E98" i="14"/>
  <c r="E96" i="14"/>
  <c r="E97" i="14" s="1"/>
  <c r="E95" i="14"/>
  <c r="E93" i="14"/>
  <c r="E94" i="14" s="1"/>
  <c r="E92" i="14"/>
  <c r="E86" i="14"/>
  <c r="E87" i="14" s="1"/>
  <c r="E85" i="14"/>
  <c r="E83" i="24" s="1"/>
  <c r="E83" i="14"/>
  <c r="E84" i="14" s="1"/>
  <c r="E82" i="14"/>
  <c r="E80" i="24" s="1"/>
  <c r="E80" i="14"/>
  <c r="E81" i="14" s="1"/>
  <c r="E79" i="14"/>
  <c r="E34" i="16" s="1"/>
  <c r="E77" i="14"/>
  <c r="E78" i="14" s="1"/>
  <c r="E76" i="14"/>
  <c r="E74" i="24" s="1"/>
  <c r="E69" i="14"/>
  <c r="E70" i="14" s="1"/>
  <c r="E63" i="14"/>
  <c r="E64" i="14" s="1"/>
  <c r="E66" i="14"/>
  <c r="E67" i="14" s="1"/>
  <c r="E60" i="14"/>
  <c r="E61" i="14" s="1"/>
  <c r="E68" i="14"/>
  <c r="E65" i="14"/>
  <c r="E62" i="14"/>
  <c r="E59" i="14"/>
  <c r="E53" i="14"/>
  <c r="E54" i="14" s="1"/>
  <c r="E52" i="14"/>
  <c r="E50" i="14"/>
  <c r="E51" i="14" s="1"/>
  <c r="E49" i="14"/>
  <c r="E47" i="14"/>
  <c r="E48" i="14" s="1"/>
  <c r="E46" i="14"/>
  <c r="E44" i="14"/>
  <c r="E45" i="14" s="1"/>
  <c r="E43" i="14"/>
  <c r="E37" i="14"/>
  <c r="E38" i="14" s="1"/>
  <c r="E36" i="14"/>
  <c r="E22" i="16" s="1"/>
  <c r="E9" i="14"/>
  <c r="E10" i="14" s="1"/>
  <c r="E10" i="15" s="1"/>
  <c r="E34" i="14"/>
  <c r="E35" i="14" s="1"/>
  <c r="E33" i="14"/>
  <c r="E18" i="16" s="1"/>
  <c r="E31" i="14"/>
  <c r="E32" i="14" s="1"/>
  <c r="E30" i="14"/>
  <c r="E64" i="24" s="1"/>
  <c r="E28" i="14"/>
  <c r="E27" i="14"/>
  <c r="E21" i="14"/>
  <c r="E12" i="15" s="1"/>
  <c r="E15" i="14"/>
  <c r="E16" i="14" s="1"/>
  <c r="E11" i="15" s="1"/>
  <c r="E8" i="14"/>
  <c r="E57" i="24" s="1"/>
  <c r="D19" i="15"/>
  <c r="D15" i="15"/>
  <c r="D30" i="15"/>
  <c r="D35" i="15"/>
  <c r="D39" i="15"/>
  <c r="D9" i="15"/>
  <c r="D8" i="15" s="1"/>
  <c r="D7" i="15" s="1"/>
  <c r="B129" i="14"/>
  <c r="B142" i="14" s="1"/>
  <c r="B74" i="24"/>
  <c r="A90" i="24"/>
  <c r="A27" i="24"/>
  <c r="A37" i="24" s="1"/>
  <c r="A56" i="24" s="1"/>
  <c r="A38" i="23"/>
  <c r="A68" i="23" s="1"/>
  <c r="A49" i="16"/>
  <c r="A29" i="16"/>
  <c r="A19" i="14"/>
  <c r="A75" i="14"/>
  <c r="B52" i="14"/>
  <c r="B68" i="14"/>
  <c r="B85" i="14" s="1"/>
  <c r="B101" i="14" s="1"/>
  <c r="B117" i="14" s="1"/>
  <c r="B138" i="14" s="1"/>
  <c r="B151" i="14" s="1"/>
  <c r="B49" i="14"/>
  <c r="B65" i="14" s="1"/>
  <c r="B82" i="14" s="1"/>
  <c r="B98" i="14" s="1"/>
  <c r="B114" i="14" s="1"/>
  <c r="B135" i="14" s="1"/>
  <c r="B148" i="14" s="1"/>
  <c r="B46" i="14"/>
  <c r="B62" i="14" s="1"/>
  <c r="B79" i="14" s="1"/>
  <c r="B95" i="14" s="1"/>
  <c r="B111" i="14" s="1"/>
  <c r="B132" i="14" s="1"/>
  <c r="B145" i="14" s="1"/>
  <c r="B43" i="14"/>
  <c r="A91" i="14"/>
  <c r="B92" i="14"/>
  <c r="B108" i="14" s="1"/>
  <c r="A124" i="14"/>
  <c r="B59" i="14"/>
  <c r="B76" i="14" s="1"/>
  <c r="A43" i="8"/>
  <c r="A164" i="14"/>
  <c r="A157" i="14"/>
  <c r="A107" i="14"/>
  <c r="A58" i="14"/>
  <c r="A42" i="14"/>
  <c r="A26" i="14"/>
  <c r="A13" i="14"/>
  <c r="A9" i="16"/>
  <c r="B10" i="16"/>
  <c r="D27" i="21" l="1"/>
  <c r="D73" i="8"/>
  <c r="D20" i="23"/>
  <c r="E45" i="24"/>
  <c r="D85" i="23"/>
  <c r="E105" i="24"/>
  <c r="D18" i="21"/>
  <c r="D63" i="8"/>
  <c r="D9" i="8"/>
  <c r="D47" i="23"/>
  <c r="E52" i="24"/>
  <c r="E124" i="14"/>
  <c r="D26" i="8"/>
  <c r="D32" i="8"/>
  <c r="D38" i="8"/>
  <c r="D13" i="23"/>
  <c r="D41" i="23"/>
  <c r="D84" i="23"/>
  <c r="E32" i="16"/>
  <c r="E33" i="16" s="1"/>
  <c r="D3" i="23"/>
  <c r="E164" i="14"/>
  <c r="D68" i="23"/>
  <c r="E56" i="24"/>
  <c r="E37" i="24"/>
  <c r="D23" i="8"/>
  <c r="E27" i="24"/>
  <c r="E49" i="16"/>
  <c r="D38" i="23"/>
  <c r="E91" i="14"/>
  <c r="E90" i="24"/>
  <c r="E29" i="16"/>
  <c r="E26" i="14"/>
  <c r="E42" i="14"/>
  <c r="E3" i="16"/>
  <c r="E58" i="14"/>
  <c r="D3" i="21"/>
  <c r="E157" i="14"/>
  <c r="E75" i="14"/>
  <c r="E13" i="14"/>
  <c r="E9" i="16"/>
  <c r="D3" i="8"/>
  <c r="D43" i="8"/>
  <c r="E19" i="14"/>
  <c r="D15" i="8"/>
  <c r="D12" i="8"/>
  <c r="E98" i="24"/>
  <c r="E24" i="24"/>
  <c r="E93" i="24"/>
  <c r="E94" i="24" s="1"/>
  <c r="D52" i="23"/>
  <c r="D53" i="23" s="1"/>
  <c r="D91" i="23"/>
  <c r="E39" i="24"/>
  <c r="E40" i="24" s="1"/>
  <c r="D29" i="8"/>
  <c r="D35" i="8"/>
  <c r="D25" i="23"/>
  <c r="D46" i="23"/>
  <c r="D72" i="23"/>
  <c r="E16" i="16"/>
  <c r="E17" i="16" s="1"/>
  <c r="D6" i="21"/>
  <c r="D7" i="21" s="1"/>
  <c r="D57" i="23"/>
  <c r="D58" i="23" s="1"/>
  <c r="D14" i="21"/>
  <c r="D15" i="21" s="1"/>
  <c r="E40" i="16"/>
  <c r="E41" i="16" s="1"/>
  <c r="D22" i="21"/>
  <c r="D23" i="21" s="1"/>
  <c r="E36" i="16"/>
  <c r="E37" i="16" s="1"/>
  <c r="E46" i="24"/>
  <c r="E70" i="24"/>
  <c r="D2" i="8"/>
  <c r="E20" i="16"/>
  <c r="E21" i="16" s="1"/>
  <c r="D6" i="8"/>
  <c r="E8" i="24"/>
  <c r="D10" i="21"/>
  <c r="D11" i="21" s="1"/>
  <c r="D79" i="23"/>
  <c r="E56" i="16"/>
  <c r="E57" i="16" s="1"/>
  <c r="E6" i="16"/>
  <c r="E7" i="16" s="1"/>
  <c r="E40" i="15" s="1"/>
  <c r="E24" i="16"/>
  <c r="E25" i="16" s="1"/>
  <c r="E44" i="16"/>
  <c r="E45" i="16" s="1"/>
  <c r="D14" i="23"/>
  <c r="E42" i="24"/>
  <c r="E43" i="24" s="1"/>
  <c r="E12" i="16"/>
  <c r="E13" i="16" s="1"/>
  <c r="D7" i="23"/>
  <c r="D19" i="23"/>
  <c r="D21" i="23" s="1"/>
  <c r="D31" i="23"/>
  <c r="D78" i="23"/>
  <c r="D90" i="23"/>
  <c r="D96" i="23"/>
  <c r="E77" i="24"/>
  <c r="E16" i="24"/>
  <c r="D19" i="21"/>
  <c r="E60" i="16"/>
  <c r="E61" i="16" s="1"/>
  <c r="E4" i="24"/>
  <c r="B3" i="14"/>
  <c r="E64" i="16"/>
  <c r="E65" i="16" s="1"/>
  <c r="E52" i="16"/>
  <c r="E53" i="16" s="1"/>
  <c r="E33" i="24"/>
  <c r="E106" i="24"/>
  <c r="E12" i="24"/>
  <c r="E20" i="24"/>
  <c r="E14" i="16"/>
  <c r="E120" i="14"/>
  <c r="E22" i="15" s="1"/>
  <c r="E42" i="16"/>
  <c r="E30" i="16"/>
  <c r="E104" i="14"/>
  <c r="E21" i="15" s="1"/>
  <c r="E55" i="14"/>
  <c r="E17" i="15" s="1"/>
  <c r="E67" i="24"/>
  <c r="E71" i="14"/>
  <c r="E18" i="15" s="1"/>
  <c r="E88" i="14"/>
  <c r="E20" i="15" s="1"/>
  <c r="E14" i="14"/>
  <c r="E38" i="16"/>
  <c r="E86" i="24"/>
  <c r="B3" i="15"/>
  <c r="E107" i="14"/>
  <c r="D58" i="8"/>
  <c r="D68" i="8"/>
  <c r="E9" i="15"/>
  <c r="E20" i="14"/>
  <c r="E4" i="16"/>
  <c r="E39" i="14"/>
  <c r="E16" i="15" s="1"/>
  <c r="E10" i="16"/>
  <c r="E61" i="24"/>
  <c r="D62" i="23"/>
  <c r="D63" i="23" s="1"/>
  <c r="D97" i="23"/>
  <c r="D18" i="8"/>
  <c r="D32" i="23"/>
  <c r="E102" i="24"/>
  <c r="E110" i="24"/>
  <c r="E154" i="14"/>
  <c r="E23" i="15" s="1"/>
  <c r="D26" i="23"/>
  <c r="D8" i="23"/>
  <c r="D42" i="23"/>
  <c r="E48" i="24"/>
  <c r="E49" i="24" s="1"/>
  <c r="D48" i="23" l="1"/>
  <c r="D86" i="23"/>
  <c r="D33" i="23"/>
  <c r="D43" i="23"/>
  <c r="D92" i="23"/>
  <c r="E46" i="16"/>
  <c r="E42" i="15" s="1"/>
  <c r="D27" i="23"/>
  <c r="D39" i="8"/>
  <c r="E26" i="16"/>
  <c r="E41" i="15" s="1"/>
  <c r="D15" i="23"/>
  <c r="D19" i="8"/>
  <c r="D98" i="23"/>
  <c r="D24" i="21"/>
  <c r="D25" i="21" s="1"/>
  <c r="E45" i="15" s="1"/>
  <c r="E44" i="15" s="1"/>
  <c r="E25" i="24"/>
  <c r="E53" i="24"/>
  <c r="E54" i="24" s="1"/>
  <c r="D9" i="23"/>
  <c r="D80" i="23"/>
  <c r="E66" i="16"/>
  <c r="E43" i="15" s="1"/>
  <c r="E19" i="15"/>
  <c r="E15" i="15"/>
  <c r="D69" i="8"/>
  <c r="E28" i="15" s="1"/>
  <c r="E111" i="24"/>
  <c r="E34" i="15" s="1"/>
  <c r="D64" i="23" l="1"/>
  <c r="E37" i="15" s="1"/>
  <c r="D40" i="8"/>
  <c r="E27" i="15" s="1"/>
  <c r="E26" i="15"/>
  <c r="E25" i="15" s="1"/>
  <c r="D34" i="23"/>
  <c r="D35" i="23" s="1"/>
  <c r="E36" i="15" s="1"/>
  <c r="E39" i="15"/>
  <c r="D99" i="23"/>
  <c r="D100" i="23" s="1"/>
  <c r="E38" i="15" s="1"/>
  <c r="E87" i="24"/>
  <c r="E31" i="15" s="1"/>
  <c r="E30" i="15" s="1"/>
  <c r="E8" i="15"/>
  <c r="E35" i="15" l="1"/>
  <c r="E7" i="15" s="1"/>
</calcChain>
</file>

<file path=xl/comments1.xml><?xml version="1.0" encoding="utf-8"?>
<comments xmlns="http://schemas.openxmlformats.org/spreadsheetml/2006/main">
  <authors>
    <author>이화종</author>
    <author>user</author>
  </authors>
  <commentList>
    <comment ref="F13" authorId="0" shapeId="0">
      <text>
        <r>
          <rPr>
            <sz val="9"/>
            <color indexed="81"/>
            <rFont val="돋움"/>
            <family val="3"/>
            <charset val="129"/>
          </rPr>
          <t>자격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입력방법</t>
        </r>
        <r>
          <rPr>
            <sz val="9"/>
            <color indexed="81"/>
            <rFont val="Tahoma"/>
            <family val="2"/>
          </rPr>
          <t xml:space="preserve"> : 
</t>
        </r>
        <r>
          <rPr>
            <sz val="9"/>
            <color indexed="81"/>
            <rFont val="돋움"/>
            <family val="3"/>
            <charset val="129"/>
          </rPr>
          <t>특급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고급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중급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초급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택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기술사</t>
        </r>
        <r>
          <rPr>
            <sz val="9"/>
            <color indexed="81"/>
            <rFont val="Tahoma"/>
            <family val="2"/>
          </rPr>
          <t xml:space="preserve"> X)</t>
        </r>
      </text>
    </comment>
    <comment ref="G13" authorId="0" shapeId="0">
      <text>
        <r>
          <rPr>
            <sz val="9"/>
            <color indexed="81"/>
            <rFont val="돋움"/>
            <family val="3"/>
            <charset val="129"/>
          </rPr>
          <t>환산경력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입력방법</t>
        </r>
        <r>
          <rPr>
            <sz val="9"/>
            <color indexed="81"/>
            <rFont val="Tahoma"/>
            <family val="2"/>
          </rPr>
          <t xml:space="preserve"> : 
(</t>
        </r>
        <r>
          <rPr>
            <sz val="9"/>
            <color indexed="81"/>
            <rFont val="돋움"/>
            <family val="3"/>
            <charset val="129"/>
          </rPr>
          <t>예시</t>
        </r>
        <r>
          <rPr>
            <sz val="9"/>
            <color indexed="81"/>
            <rFont val="Tahoma"/>
            <family val="2"/>
          </rPr>
          <t>) 13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11</t>
        </r>
        <r>
          <rPr>
            <sz val="9"/>
            <color indexed="81"/>
            <rFont val="돋움"/>
            <family val="3"/>
            <charset val="129"/>
          </rPr>
          <t>월인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: 1913-11-01
          15</t>
        </r>
        <r>
          <rPr>
            <sz val="9"/>
            <color indexed="81"/>
            <rFont val="돋움"/>
            <family val="3"/>
            <charset val="129"/>
          </rPr>
          <t>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: 1914-12-31</t>
        </r>
      </text>
    </comment>
    <comment ref="J13" authorId="0" shapeId="0">
      <text>
        <r>
          <rPr>
            <b/>
            <sz val="9"/>
            <color indexed="81"/>
            <rFont val="돋움"/>
            <family val="3"/>
            <charset val="129"/>
          </rPr>
          <t>ㆍ</t>
        </r>
        <r>
          <rPr>
            <sz val="9"/>
            <color indexed="81"/>
            <rFont val="돋움"/>
            <family val="3"/>
            <charset val="129"/>
          </rPr>
          <t>사업책임기술자 점수 :
ㆍ3년미만:0.5점
ㆍ5년미만:0.4점
ㆍ10년미만:0.3점
ㆍ10년이상:0점
ㆍ분야별책임기술자 점수 :
ㆍ3년미만:0.5점
ㆍ5년미만:0.4점
ㆍ10년미만:0.3점
ㆍ10년이상:0점
ㆍ해당없을 시 "해당없음"으로 입력</t>
        </r>
      </text>
    </comment>
    <comment ref="K13" authorId="0" shapeId="0">
      <text>
        <r>
          <rPr>
            <sz val="9"/>
            <color indexed="81"/>
            <rFont val="돋움"/>
            <family val="3"/>
            <charset val="129"/>
          </rPr>
          <t>ㆍ최근이적기간</t>
        </r>
        <r>
          <rPr>
            <sz val="9"/>
            <color indexed="81"/>
            <rFont val="Tahoma"/>
            <family val="2"/>
          </rPr>
          <t xml:space="preserve"> :
  - 3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미만</t>
        </r>
        <r>
          <rPr>
            <sz val="9"/>
            <color indexed="81"/>
            <rFont val="Tahoma"/>
            <family val="2"/>
          </rPr>
          <t xml:space="preserve">   : x 0.6
  - 3</t>
        </r>
        <r>
          <rPr>
            <sz val="9"/>
            <color indexed="81"/>
            <rFont val="돋움"/>
            <family val="3"/>
            <charset val="129"/>
          </rPr>
          <t>개월이상</t>
        </r>
        <r>
          <rPr>
            <sz val="9"/>
            <color indexed="81"/>
            <rFont val="Tahoma"/>
            <family val="2"/>
          </rPr>
          <t xml:space="preserve"> 6</t>
        </r>
        <r>
          <rPr>
            <sz val="9"/>
            <color indexed="81"/>
            <rFont val="돋움"/>
            <family val="3"/>
            <charset val="129"/>
          </rPr>
          <t>개월미만</t>
        </r>
        <r>
          <rPr>
            <sz val="9"/>
            <color indexed="81"/>
            <rFont val="Tahoma"/>
            <family val="2"/>
          </rPr>
          <t xml:space="preserve"> : x 0.8 
  - 6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 : x 1.0
</t>
        </r>
        <r>
          <rPr>
            <sz val="9"/>
            <color indexed="81"/>
            <rFont val="돋움"/>
            <family val="3"/>
            <charset val="129"/>
          </rPr>
          <t>ㆍ해당없을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해당없음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</t>
        </r>
      </text>
    </comment>
    <comment ref="L13" authorId="0" shapeId="0">
      <text>
        <r>
          <rPr>
            <sz val="9"/>
            <color indexed="81"/>
            <rFont val="돋움"/>
            <family val="3"/>
            <charset val="129"/>
          </rPr>
          <t>ㆍ최근 1년간 1개월마다 0.2점씩 감점(예시: -0.2)
ㆍ해당없을 시 "해당없음" 으로 입력</t>
        </r>
      </text>
    </comment>
    <comment ref="M13" authorId="0" shapeId="0">
      <text>
        <r>
          <rPr>
            <b/>
            <sz val="9"/>
            <color indexed="81"/>
            <rFont val="돋움"/>
            <family val="3"/>
            <charset val="129"/>
          </rPr>
          <t>ㆍ분야책임기술자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감점표</t>
        </r>
        <r>
          <rPr>
            <sz val="9"/>
            <color indexed="81"/>
            <rFont val="돋움"/>
            <family val="3"/>
            <charset val="129"/>
          </rPr>
          <t xml:space="preserve">
해당없을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입력
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-0.2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-0.5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-1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-2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-3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점이상</t>
        </r>
        <r>
          <rPr>
            <sz val="9"/>
            <color indexed="81"/>
            <rFont val="Tahoma"/>
            <family val="2"/>
          </rPr>
          <t xml:space="preserve"> : -5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b/>
            <sz val="9"/>
            <color indexed="81"/>
            <rFont val="돋움"/>
            <family val="3"/>
            <charset val="129"/>
          </rPr>
          <t>ㆍ분야참여기술자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감점표</t>
        </r>
        <r>
          <rPr>
            <sz val="9"/>
            <color indexed="81"/>
            <rFont val="돋움"/>
            <family val="3"/>
            <charset val="129"/>
          </rPr>
          <t xml:space="preserve">
해당없을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입력
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-0.2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-0.5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-1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-2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점미만</t>
        </r>
        <r>
          <rPr>
            <sz val="9"/>
            <color indexed="81"/>
            <rFont val="Tahoma"/>
            <family val="2"/>
          </rPr>
          <t xml:space="preserve"> : -3</t>
        </r>
        <r>
          <rPr>
            <sz val="9"/>
            <color indexed="81"/>
            <rFont val="돋움"/>
            <family val="3"/>
            <charset val="129"/>
          </rPr>
          <t xml:space="preserve">점
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점이상</t>
        </r>
        <r>
          <rPr>
            <sz val="9"/>
            <color indexed="81"/>
            <rFont val="Tahoma"/>
            <family val="2"/>
          </rPr>
          <t xml:space="preserve"> : -5</t>
        </r>
        <r>
          <rPr>
            <sz val="9"/>
            <color indexed="81"/>
            <rFont val="돋움"/>
            <family val="3"/>
            <charset val="129"/>
          </rPr>
          <t>점</t>
        </r>
      </text>
    </comment>
    <comment ref="W28" authorId="0" shapeId="0">
      <text>
        <r>
          <rPr>
            <sz val="9"/>
            <color indexed="81"/>
            <rFont val="돋움"/>
            <family val="3"/>
            <charset val="129"/>
          </rPr>
          <t>ㆍ신  기술:1.0점/건
ㆍ특    허:0.6점/건
ㆍ실용신안:0.3점/건</t>
        </r>
      </text>
    </comment>
    <comment ref="Z28" authorId="0" shapeId="0">
      <text>
        <r>
          <rPr>
            <sz val="9"/>
            <color indexed="81"/>
            <rFont val="돋움"/>
            <family val="3"/>
            <charset val="129"/>
          </rPr>
          <t>소수점 둘째자리까지 입력 (예시) 1.20%</t>
        </r>
      </text>
    </comment>
    <comment ref="H30" authorId="1" shapeId="0">
      <text>
        <r>
          <rPr>
            <sz val="9"/>
            <color indexed="81"/>
            <rFont val="돋움"/>
            <family val="3"/>
            <charset val="129"/>
          </rPr>
          <t>ㆍ전차용역 경과기간 입력
 (예시) 2.8년, 3년, 5년 등
ㆍ해당없을 시 "해당없음"으로 입력</t>
        </r>
      </text>
    </comment>
    <comment ref="J30" authorId="1" shapeId="0">
      <text>
        <r>
          <rPr>
            <sz val="9"/>
            <color indexed="81"/>
            <rFont val="돋움"/>
            <family val="3"/>
            <charset val="129"/>
          </rPr>
          <t>ㆍ최근 5년간 강원특별자치도(본청 및 산하기관(시군제외))에서 수행한 용역평가 점수 입력</t>
        </r>
      </text>
    </comment>
    <comment ref="L30" authorId="1" shapeId="0">
      <text>
        <r>
          <rPr>
            <sz val="9"/>
            <color indexed="81"/>
            <rFont val="돋움"/>
            <family val="3"/>
            <charset val="129"/>
          </rPr>
          <t>ㆍ 절대평가
   95점이상:2.0점
   95점미만92점이상:1.8점
   92점미만89점이상:1.6점
   89점미만86점이상:1.4점
   86점미만:1.2점
* 실적이 없는 경우
  '1.6'의 점수부여</t>
        </r>
      </text>
    </comment>
    <comment ref="N30" authorId="1" shapeId="0">
      <text>
        <r>
          <rPr>
            <sz val="9"/>
            <color indexed="81"/>
            <rFont val="돋움"/>
            <family val="3"/>
            <charset val="129"/>
          </rPr>
          <t xml:space="preserve">ㆍ최근 1년간 1개월
 마다 0.2점씩 감점(예시 : -0.2)
해당없을 시 0으로 입력
</t>
        </r>
      </text>
    </comment>
    <comment ref="O30" authorId="0" shapeId="0">
      <text>
        <r>
          <rPr>
            <sz val="9"/>
            <color indexed="81"/>
            <rFont val="돋움"/>
            <family val="3"/>
            <charset val="129"/>
          </rPr>
          <t>ㆍ누계 부실벌점에 따라 감점
해당없을 시 0으로 입력
1∼2점미만 : -0.2점
2∼5점미만 : -0.5점
5∼10점미만 : -1점
10∼15점미만 : -2점
15∼20점미만 : -3점
20점이상 : -5점</t>
        </r>
      </text>
    </comment>
    <comment ref="Q30" authorId="0" shapeId="0">
      <text>
        <r>
          <rPr>
            <sz val="9"/>
            <color indexed="81"/>
            <rFont val="돋움"/>
            <family val="3"/>
            <charset val="129"/>
          </rPr>
          <t>ㆍ신용평가 등급
BBB-이상 : 3.0점
B-이상~BBB-미만 : 2.8점
CCC+이하 : 2.1점
미제출 : 0.0점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E24" authorId="0" shapeId="0">
      <text>
        <r>
          <rPr>
            <sz val="9"/>
            <color indexed="81"/>
            <rFont val="Tahoma"/>
            <family val="2"/>
          </rPr>
          <t xml:space="preserve">** </t>
        </r>
        <r>
          <rPr>
            <sz val="9"/>
            <color indexed="81"/>
            <rFont val="돋움"/>
            <family val="3"/>
            <charset val="129"/>
          </rPr>
          <t>용역성격에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변경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가능</t>
        </r>
      </text>
    </comment>
    <comment ref="E28" authorId="0" shapeId="0">
      <text>
        <r>
          <rPr>
            <sz val="9"/>
            <color indexed="81"/>
            <rFont val="Tahoma"/>
            <family val="2"/>
          </rPr>
          <t xml:space="preserve">** </t>
        </r>
        <r>
          <rPr>
            <sz val="9"/>
            <color indexed="81"/>
            <rFont val="돋움"/>
            <family val="3"/>
            <charset val="129"/>
          </rPr>
          <t>용역성격에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변경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가능</t>
        </r>
      </text>
    </comment>
    <comment ref="E29" authorId="0" shapeId="0">
      <text>
        <r>
          <rPr>
            <sz val="9"/>
            <color indexed="81"/>
            <rFont val="Tahoma"/>
            <family val="2"/>
          </rPr>
          <t xml:space="preserve">** </t>
        </r>
        <r>
          <rPr>
            <sz val="9"/>
            <color indexed="81"/>
            <rFont val="돋움"/>
            <family val="3"/>
            <charset val="129"/>
          </rPr>
          <t>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절대평가</t>
        </r>
      </text>
    </comment>
  </commentList>
</comments>
</file>

<file path=xl/sharedStrings.xml><?xml version="1.0" encoding="utf-8"?>
<sst xmlns="http://schemas.openxmlformats.org/spreadsheetml/2006/main" count="824" uniqueCount="372">
  <si>
    <t>점    수</t>
    <phoneticPr fontId="2" type="noConversion"/>
  </si>
  <si>
    <t>합    계</t>
    <phoneticPr fontId="2" type="noConversion"/>
  </si>
  <si>
    <t>합  계</t>
    <phoneticPr fontId="2" type="noConversion"/>
  </si>
  <si>
    <t>개 발 실 적</t>
    <phoneticPr fontId="2" type="noConversion"/>
  </si>
  <si>
    <t>투 자 실 적</t>
    <phoneticPr fontId="2" type="noConversion"/>
  </si>
  <si>
    <t>교육훈련</t>
    <phoneticPr fontId="2" type="noConversion"/>
  </si>
  <si>
    <t>성    명</t>
    <phoneticPr fontId="2" type="noConversion"/>
  </si>
  <si>
    <t>배 점</t>
    <phoneticPr fontId="2" type="noConversion"/>
  </si>
  <si>
    <t xml:space="preserve"> 2.유사용역 
   수행실적</t>
    <phoneticPr fontId="2" type="noConversion"/>
  </si>
  <si>
    <t>건  수</t>
    <phoneticPr fontId="2" type="noConversion"/>
  </si>
  <si>
    <t>금  액</t>
    <phoneticPr fontId="2" type="noConversion"/>
  </si>
  <si>
    <t xml:space="preserve"> 5.업무중첩도</t>
    <phoneticPr fontId="2" type="noConversion"/>
  </si>
  <si>
    <t>도급비율(%)</t>
    <phoneticPr fontId="2" type="noConversion"/>
  </si>
  <si>
    <t>점수의 합</t>
    <phoneticPr fontId="2" type="noConversion"/>
  </si>
  <si>
    <t>부실벌점</t>
    <phoneticPr fontId="2" type="noConversion"/>
  </si>
  <si>
    <t>실   적</t>
    <phoneticPr fontId="2" type="noConversion"/>
  </si>
  <si>
    <t>경   력</t>
    <phoneticPr fontId="2" type="noConversion"/>
  </si>
  <si>
    <t>자   격</t>
    <phoneticPr fontId="2" type="noConversion"/>
  </si>
  <si>
    <t>소   계</t>
    <phoneticPr fontId="2" type="noConversion"/>
  </si>
  <si>
    <t xml:space="preserve"> 3.신용도</t>
  </si>
  <si>
    <t>점  수</t>
    <phoneticPr fontId="2" type="noConversion"/>
  </si>
  <si>
    <t>재정상태 건실도</t>
    <phoneticPr fontId="2" type="noConversion"/>
  </si>
  <si>
    <t>활용실적</t>
    <phoneticPr fontId="2" type="noConversion"/>
  </si>
  <si>
    <t xml:space="preserve"> 5. 업무중첩도 (배점 : 10점)</t>
    <phoneticPr fontId="2" type="noConversion"/>
  </si>
  <si>
    <t>총      계</t>
    <phoneticPr fontId="2" type="noConversion"/>
  </si>
  <si>
    <t>전차용역(업체)</t>
    <phoneticPr fontId="2" type="noConversion"/>
  </si>
  <si>
    <t xml:space="preserve"> 1. 참여기술자 (배점 : 50점)</t>
    <phoneticPr fontId="2" type="noConversion"/>
  </si>
  <si>
    <t>자격사항</t>
    <phoneticPr fontId="2" type="noConversion"/>
  </si>
  <si>
    <t>환산경력</t>
    <phoneticPr fontId="2" type="noConversion"/>
  </si>
  <si>
    <t xml:space="preserve">점수의 합 </t>
    <phoneticPr fontId="2" type="noConversion"/>
  </si>
  <si>
    <t xml:space="preserve"> 2. 유사용역 수행실적 (배점 : 15점)</t>
    <phoneticPr fontId="2" type="noConversion"/>
  </si>
  <si>
    <t>업체</t>
    <phoneticPr fontId="2" type="noConversion"/>
  </si>
  <si>
    <t>참여기술자</t>
    <phoneticPr fontId="2" type="noConversion"/>
  </si>
  <si>
    <t xml:space="preserve"> 1.참여건설
   기 술 자</t>
    <phoneticPr fontId="2" type="noConversion"/>
  </si>
  <si>
    <t xml:space="preserve"> 4.기술개발
   및투자실적</t>
    <phoneticPr fontId="2" type="noConversion"/>
  </si>
  <si>
    <t>점      수</t>
    <phoneticPr fontId="2" type="noConversion"/>
  </si>
  <si>
    <t xml:space="preserve"> 성     명</t>
    <phoneticPr fontId="2" type="noConversion"/>
  </si>
  <si>
    <t>건    수</t>
    <phoneticPr fontId="2" type="noConversion"/>
  </si>
  <si>
    <t>점     수</t>
    <phoneticPr fontId="2" type="noConversion"/>
  </si>
  <si>
    <t>전차용역(참여기술자)</t>
    <phoneticPr fontId="2" type="noConversion"/>
  </si>
  <si>
    <t xml:space="preserve">  마. 평가대상기술자 감점 (이적계수 적용)</t>
    <phoneticPr fontId="2" type="noConversion"/>
  </si>
  <si>
    <t>등 급</t>
    <phoneticPr fontId="2" type="noConversion"/>
  </si>
  <si>
    <t>중복개월</t>
    <phoneticPr fontId="2" type="noConversion"/>
  </si>
  <si>
    <t>중복비율</t>
    <phoneticPr fontId="2" type="noConversion"/>
  </si>
  <si>
    <t>구조</t>
    <phoneticPr fontId="2" type="noConversion"/>
  </si>
  <si>
    <t xml:space="preserve"> 6.가점</t>
    <phoneticPr fontId="2" type="noConversion"/>
  </si>
  <si>
    <t>건설기술자 신규고용</t>
    <phoneticPr fontId="2" type="noConversion"/>
  </si>
  <si>
    <t>토질</t>
    <phoneticPr fontId="2" type="noConversion"/>
  </si>
  <si>
    <t>수자원</t>
    <phoneticPr fontId="2" type="noConversion"/>
  </si>
  <si>
    <t>수질관리</t>
    <phoneticPr fontId="2" type="noConversion"/>
  </si>
  <si>
    <t>도급비율(%)</t>
    <phoneticPr fontId="2" type="noConversion"/>
  </si>
  <si>
    <t>환산점수ⓐ</t>
    <phoneticPr fontId="2" type="noConversion"/>
  </si>
  <si>
    <t>ㆍ 건설기술자
 신규고용
1% 이상 : 0.1점
2% 이상 : 0.2점
3% 이상 : 0.3점</t>
    <phoneticPr fontId="2" type="noConversion"/>
  </si>
  <si>
    <t>고용율(%)</t>
    <phoneticPr fontId="2" type="noConversion"/>
  </si>
  <si>
    <t>점  수</t>
    <phoneticPr fontId="2" type="noConversion"/>
  </si>
  <si>
    <t>환산점수ⓑ</t>
    <phoneticPr fontId="2" type="noConversion"/>
  </si>
  <si>
    <t>환산점수ⓒ</t>
    <phoneticPr fontId="2" type="noConversion"/>
  </si>
  <si>
    <t>점    수</t>
    <phoneticPr fontId="2" type="noConversion"/>
  </si>
  <si>
    <t>책임기술인</t>
    <phoneticPr fontId="2" type="noConversion"/>
  </si>
  <si>
    <t>분야별책임기술인</t>
    <phoneticPr fontId="2" type="noConversion"/>
  </si>
  <si>
    <t>분야별참여기술인</t>
    <phoneticPr fontId="2" type="noConversion"/>
  </si>
  <si>
    <t>실무기술인</t>
    <phoneticPr fontId="2" type="noConversion"/>
  </si>
  <si>
    <t>책임기술인</t>
    <phoneticPr fontId="2" type="noConversion"/>
  </si>
  <si>
    <t>분야별
책임기술인</t>
    <phoneticPr fontId="2" type="noConversion"/>
  </si>
  <si>
    <t>분야별
참여기술인</t>
    <phoneticPr fontId="2" type="noConversion"/>
  </si>
  <si>
    <t xml:space="preserve">     1)등급 (배점 : 3점) : 수자원개발기술자에 한함</t>
    <phoneticPr fontId="2" type="noConversion"/>
  </si>
  <si>
    <t xml:space="preserve">     2)경력 (배점 : 4점)</t>
    <phoneticPr fontId="2" type="noConversion"/>
  </si>
  <si>
    <t xml:space="preserve">     3)실적 (배점 : 5점)</t>
    <phoneticPr fontId="2" type="noConversion"/>
  </si>
  <si>
    <t xml:space="preserve">     1)등급 (배점 : 4점) </t>
    <phoneticPr fontId="2" type="noConversion"/>
  </si>
  <si>
    <t xml:space="preserve">     2)경력 (배점 : 7점)</t>
    <phoneticPr fontId="2" type="noConversion"/>
  </si>
  <si>
    <t>ㆍ10년이상:7.0점
ㆍ 8년이상:6.3점
ㆍ 6년이상:5.6점
ㆍ 4년이상:4.9점
ㆍ 4년미만:4.2점</t>
    <phoneticPr fontId="2" type="noConversion"/>
  </si>
  <si>
    <t xml:space="preserve">     3)실적 (배점 : 8점)</t>
    <phoneticPr fontId="2" type="noConversion"/>
  </si>
  <si>
    <t xml:space="preserve">     1)등급 (배점 : 4점) </t>
    <phoneticPr fontId="2" type="noConversion"/>
  </si>
  <si>
    <t xml:space="preserve">      2)경력 (배점 : 5점)</t>
    <phoneticPr fontId="2" type="noConversion"/>
  </si>
  <si>
    <t>ㆍ5건이상:5.0점
ㆍ4건이상:4.5점
ㆍ3건이상:4.0점
ㆍ2건이상:3.5점
ㆍ2건미만:3.0점</t>
    <phoneticPr fontId="2" type="noConversion"/>
  </si>
  <si>
    <t xml:space="preserve">  가. 책임기술인 (배점 : 3점)       </t>
    <phoneticPr fontId="2" type="noConversion"/>
  </si>
  <si>
    <t xml:space="preserve">  나. 분야별책임기술인 (배점 : 4점)       </t>
    <phoneticPr fontId="2" type="noConversion"/>
  </si>
  <si>
    <t>수자원</t>
    <phoneticPr fontId="2" type="noConversion"/>
  </si>
  <si>
    <t xml:space="preserve">  가. 책임기술인 (배점 : 15점)</t>
    <phoneticPr fontId="2" type="noConversion"/>
  </si>
  <si>
    <t xml:space="preserve">  나. 분야별책임기술인 (배점 : 19점)</t>
    <phoneticPr fontId="2" type="noConversion"/>
  </si>
  <si>
    <t xml:space="preserve">  다. 분야별기술인 (배점 : 14점)</t>
    <phoneticPr fontId="2" type="noConversion"/>
  </si>
  <si>
    <t xml:space="preserve">  라. 참여기술인의 교육훈련, 전차용역 (배점 : 2점)</t>
    <phoneticPr fontId="2" type="noConversion"/>
  </si>
  <si>
    <t xml:space="preserve">  라. 실무기술인 (배점 : 1점)       </t>
    <phoneticPr fontId="2" type="noConversion"/>
  </si>
  <si>
    <t>기술능력</t>
    <phoneticPr fontId="2" type="noConversion"/>
  </si>
  <si>
    <t>업무관리능력</t>
    <phoneticPr fontId="2" type="noConversion"/>
  </si>
  <si>
    <t>환산점수ⓓ</t>
    <phoneticPr fontId="2" type="noConversion"/>
  </si>
  <si>
    <t>도급비율(%)</t>
    <phoneticPr fontId="2" type="noConversion"/>
  </si>
  <si>
    <t>도급비율(%)</t>
    <phoneticPr fontId="2" type="noConversion"/>
  </si>
  <si>
    <t xml:space="preserve"> 4. 기술개발 및 투자실적 (배점 : 15점)</t>
    <phoneticPr fontId="2" type="noConversion"/>
  </si>
  <si>
    <t xml:space="preserve">    가. 개발실적 (배점 :  2점)</t>
    <phoneticPr fontId="2" type="noConversion"/>
  </si>
  <si>
    <t xml:space="preserve">
ㆍ신 기 술 : 2.0점
ㆍ특    허 : 1.0점
ㆍ실용신안 : 0.5점
 -특허 경과기간
  가중치
   5년 미만 : 100%
  10년 미만 :  80% 
  20년 미만 :  60%
 -실용신안 경과기간 
  가중치
   5년 미만 : 100%
  10년 미만 :  80% 
  10년 이상 :   0%</t>
    <phoneticPr fontId="2" type="noConversion"/>
  </si>
  <si>
    <t>신 기 술</t>
    <phoneticPr fontId="2" type="noConversion"/>
  </si>
  <si>
    <t>특    허</t>
    <phoneticPr fontId="2" type="noConversion"/>
  </si>
  <si>
    <t>실용신안</t>
    <phoneticPr fontId="2" type="noConversion"/>
  </si>
  <si>
    <t>건수의 합</t>
    <phoneticPr fontId="2" type="noConversion"/>
  </si>
  <si>
    <t>환산건수ⓐ</t>
    <phoneticPr fontId="2" type="noConversion"/>
  </si>
  <si>
    <t>환산건수ⓑ</t>
    <phoneticPr fontId="2" type="noConversion"/>
  </si>
  <si>
    <t>신 기 술</t>
    <phoneticPr fontId="2" type="noConversion"/>
  </si>
  <si>
    <t>특    허</t>
    <phoneticPr fontId="2" type="noConversion"/>
  </si>
  <si>
    <t>실용신안</t>
    <phoneticPr fontId="2" type="noConversion"/>
  </si>
  <si>
    <t>건수의 합</t>
    <phoneticPr fontId="2" type="noConversion"/>
  </si>
  <si>
    <t>도급비율(%)</t>
    <phoneticPr fontId="2" type="noConversion"/>
  </si>
  <si>
    <t>환산건수ⓒ</t>
    <phoneticPr fontId="2" type="noConversion"/>
  </si>
  <si>
    <t>환산건수ⓓ</t>
    <phoneticPr fontId="2" type="noConversion"/>
  </si>
  <si>
    <t>점    수</t>
    <phoneticPr fontId="2" type="noConversion"/>
  </si>
  <si>
    <t xml:space="preserve">    나. 투자실적 (배점 :  10점)</t>
    <phoneticPr fontId="2" type="noConversion"/>
  </si>
  <si>
    <t>ㆍ최근 3년간 기술
 개발투자실적의
 건설부문 매출액
 에 대한 비율
 - 1.5% 이상 : 10점
 -1.25% 이상 :  9점
 - 1.0% 이상 :  8점
 -0.75% 이상 :  7점
 - 0.5% 이상 :  6점</t>
    <phoneticPr fontId="2" type="noConversion"/>
  </si>
  <si>
    <t>투자금액
(백만원)</t>
    <phoneticPr fontId="2" type="noConversion"/>
  </si>
  <si>
    <t>건설매출액
(백만원)</t>
    <phoneticPr fontId="2" type="noConversion"/>
  </si>
  <si>
    <t>투자비율(%)</t>
    <phoneticPr fontId="2" type="noConversion"/>
  </si>
  <si>
    <t>환산비율(%)ⓐ</t>
    <phoneticPr fontId="2" type="noConversion"/>
  </si>
  <si>
    <t>환산비율(%)ⓑ</t>
    <phoneticPr fontId="2" type="noConversion"/>
  </si>
  <si>
    <t>환산비율(%)ⓒ</t>
    <phoneticPr fontId="2" type="noConversion"/>
  </si>
  <si>
    <t>투자금액
(백만원)</t>
    <phoneticPr fontId="2" type="noConversion"/>
  </si>
  <si>
    <t>건설매출액
(백만원)</t>
    <phoneticPr fontId="2" type="noConversion"/>
  </si>
  <si>
    <t>투자비율(%)</t>
    <phoneticPr fontId="2" type="noConversion"/>
  </si>
  <si>
    <t>환산비율(%)ⓓ</t>
    <phoneticPr fontId="2" type="noConversion"/>
  </si>
  <si>
    <t>점    수</t>
    <phoneticPr fontId="2" type="noConversion"/>
  </si>
  <si>
    <t xml:space="preserve">    다. 활용실적 (배점 :  3점)</t>
    <phoneticPr fontId="2" type="noConversion"/>
  </si>
  <si>
    <t>ㆍ신  기술:1.0점/건
ㆍ특    허:0.6점/건
ㆍ실용신안:0.3점/건
 -활용실적 가중치
ㆍ활용건수(건)
 5이상       : 1.0
 5미만~4이상 : 0.9
 4미만~3이상 : 0.8
 3미만~2이상 : 0.7
 2미만~1이상 : 0.6
ㆍ활용금액(억원)
 20이상       : 1.0
 20미만~18이상: 0.9
 18미만~16이상: 0.8
 16미만~14이상: 0.7
 14미만~12이상: 0.6</t>
    <phoneticPr fontId="2" type="noConversion"/>
  </si>
  <si>
    <t>신 기 술</t>
    <phoneticPr fontId="2" type="noConversion"/>
  </si>
  <si>
    <t>특    허</t>
    <phoneticPr fontId="2" type="noConversion"/>
  </si>
  <si>
    <t>실용신안</t>
    <phoneticPr fontId="2" type="noConversion"/>
  </si>
  <si>
    <t>건수의 합</t>
    <phoneticPr fontId="2" type="noConversion"/>
  </si>
  <si>
    <t>환산건수ⓐ</t>
    <phoneticPr fontId="2" type="noConversion"/>
  </si>
  <si>
    <t>환산건수ⓑ</t>
    <phoneticPr fontId="2" type="noConversion"/>
  </si>
  <si>
    <t>환산건수ⓒ</t>
    <phoneticPr fontId="2" type="noConversion"/>
  </si>
  <si>
    <t>환산건수ⓓ</t>
    <phoneticPr fontId="2" type="noConversion"/>
  </si>
  <si>
    <t xml:space="preserve">  다. 분야별참여기술인 (배점 : 2점)       </t>
    <phoneticPr fontId="2" type="noConversion"/>
  </si>
  <si>
    <t xml:space="preserve"> 3. 신용도 (배점 : 10점)</t>
    <phoneticPr fontId="2" type="noConversion"/>
  </si>
  <si>
    <t>ㆍ최근 1년간 1개월
 마다 0.2점씩 감점</t>
    <phoneticPr fontId="2" type="noConversion"/>
  </si>
  <si>
    <t>해당없음</t>
    <phoneticPr fontId="2" type="noConversion"/>
  </si>
  <si>
    <t>감점점수</t>
    <phoneticPr fontId="2" type="noConversion"/>
  </si>
  <si>
    <t xml:space="preserve">    2)참여기술자</t>
    <phoneticPr fontId="2" type="noConversion"/>
  </si>
  <si>
    <t>사업책임자</t>
    <phoneticPr fontId="2" type="noConversion"/>
  </si>
  <si>
    <t>분야별책
임기술자
및
분 야 별
기 술 자</t>
    <phoneticPr fontId="2" type="noConversion"/>
  </si>
  <si>
    <t>수자원</t>
    <phoneticPr fontId="2" type="noConversion"/>
  </si>
  <si>
    <t>수질관리</t>
    <phoneticPr fontId="2" type="noConversion"/>
  </si>
  <si>
    <t xml:space="preserve">  나. 부실벌점</t>
    <phoneticPr fontId="2" type="noConversion"/>
  </si>
  <si>
    <t>부실벌점</t>
    <phoneticPr fontId="2" type="noConversion"/>
  </si>
  <si>
    <t xml:space="preserve">        2)  참여기술자</t>
    <phoneticPr fontId="2" type="noConversion"/>
  </si>
  <si>
    <t>사업책임
기술자</t>
    <phoneticPr fontId="2" type="noConversion"/>
  </si>
  <si>
    <t>성   명</t>
    <phoneticPr fontId="2" type="noConversion"/>
  </si>
  <si>
    <t>점   수</t>
    <phoneticPr fontId="2" type="noConversion"/>
  </si>
  <si>
    <t>■분야별책임기술자</t>
    <phoneticPr fontId="2" type="noConversion"/>
  </si>
  <si>
    <t>■분야별기술자</t>
    <phoneticPr fontId="2" type="noConversion"/>
  </si>
  <si>
    <t>점수의 합</t>
    <phoneticPr fontId="2" type="noConversion"/>
  </si>
  <si>
    <t>입찰참가제한 및 업무정지,부실벌점 점수</t>
    <phoneticPr fontId="2" type="noConversion"/>
  </si>
  <si>
    <t xml:space="preserve">  다. 재정상태 건실도 (배점:3점)</t>
    <phoneticPr fontId="2" type="noConversion"/>
  </si>
  <si>
    <t>특급</t>
    <phoneticPr fontId="2" type="noConversion"/>
  </si>
  <si>
    <t>부실벌점</t>
    <phoneticPr fontId="2" type="noConversion"/>
  </si>
  <si>
    <t>점   수</t>
    <phoneticPr fontId="2" type="noConversion"/>
  </si>
  <si>
    <t>성   명</t>
    <phoneticPr fontId="2" type="noConversion"/>
  </si>
  <si>
    <t>신용평가
등급</t>
    <phoneticPr fontId="2" type="noConversion"/>
  </si>
  <si>
    <t>도급비율(%)</t>
    <phoneticPr fontId="2" type="noConversion"/>
  </si>
  <si>
    <t>환산점수ⓐ</t>
    <phoneticPr fontId="2" type="noConversion"/>
  </si>
  <si>
    <t>신용평가
등급</t>
    <phoneticPr fontId="2" type="noConversion"/>
  </si>
  <si>
    <t>점  수</t>
    <phoneticPr fontId="2" type="noConversion"/>
  </si>
  <si>
    <t>도급비율(%)</t>
    <phoneticPr fontId="2" type="noConversion"/>
  </si>
  <si>
    <t>환산점수ⓑ</t>
    <phoneticPr fontId="2" type="noConversion"/>
  </si>
  <si>
    <t>환산점수ⓒ</t>
    <phoneticPr fontId="2" type="noConversion"/>
  </si>
  <si>
    <t>신용평가
등급</t>
    <phoneticPr fontId="2" type="noConversion"/>
  </si>
  <si>
    <t>점  수</t>
    <phoneticPr fontId="2" type="noConversion"/>
  </si>
  <si>
    <t>환산점수ⓓ</t>
    <phoneticPr fontId="2" type="noConversion"/>
  </si>
  <si>
    <t>ㆍ최근 3년간 교육
  훈련을 받은 경우
 -2주 이상:1.0점
 -1주 이상:0.5점</t>
    <phoneticPr fontId="2" type="noConversion"/>
  </si>
  <si>
    <t>사업책임
기 술 자</t>
    <phoneticPr fontId="2" type="noConversion"/>
  </si>
  <si>
    <t>교육기간</t>
    <phoneticPr fontId="2" type="noConversion"/>
  </si>
  <si>
    <t>ㆍ최근 3년간 교육
훈련을 받은 경우
 -2주 이상:1.0점
 -1주 이상:0.5점</t>
    <phoneticPr fontId="2" type="noConversion"/>
  </si>
  <si>
    <t>사업
책임기술자</t>
    <phoneticPr fontId="2" type="noConversion"/>
  </si>
  <si>
    <t>분야별
책임기술자</t>
    <phoneticPr fontId="2" type="noConversion"/>
  </si>
  <si>
    <t>감점대상자</t>
    <phoneticPr fontId="2" type="noConversion"/>
  </si>
  <si>
    <r>
      <t xml:space="preserve"> </t>
    </r>
    <r>
      <rPr>
        <b/>
        <sz val="11"/>
        <color indexed="8"/>
        <rFont val="맑은 고딕"/>
        <family val="3"/>
        <charset val="129"/>
      </rPr>
      <t xml:space="preserve">※ 전차용역 : </t>
    </r>
    <phoneticPr fontId="2" type="noConversion"/>
  </si>
  <si>
    <t>감점점수</t>
    <phoneticPr fontId="2" type="noConversion"/>
  </si>
  <si>
    <t>도급비율(%)</t>
    <phoneticPr fontId="2" type="noConversion"/>
  </si>
  <si>
    <t>환산점수ⓐ</t>
    <phoneticPr fontId="2" type="noConversion"/>
  </si>
  <si>
    <t>환산점수ⓑ</t>
    <phoneticPr fontId="2" type="noConversion"/>
  </si>
  <si>
    <t>환산점수ⓒ</t>
    <phoneticPr fontId="2" type="noConversion"/>
  </si>
  <si>
    <t>환산점수ⓓ</t>
    <phoneticPr fontId="2" type="noConversion"/>
  </si>
  <si>
    <t>감점점수의 합</t>
    <phoneticPr fontId="2" type="noConversion"/>
  </si>
  <si>
    <t>ㆍ누계 부실벌점에
  따라 감점
 1∼2점미만:-0.2점
 2∼5점미만:-0.5점
 5∼10점미만:-1점
10∼15점미만:-2점
15∼20점미만:-3점
    20점이상:-5점</t>
    <phoneticPr fontId="2" type="noConversion"/>
  </si>
  <si>
    <t>부실벌점</t>
    <phoneticPr fontId="2" type="noConversion"/>
  </si>
  <si>
    <t>환산벌점(ⓐ)</t>
    <phoneticPr fontId="2" type="noConversion"/>
  </si>
  <si>
    <t>환산벌점(ⓑ)</t>
    <phoneticPr fontId="2" type="noConversion"/>
  </si>
  <si>
    <t>환산벌점(ⓒ)</t>
    <phoneticPr fontId="2" type="noConversion"/>
  </si>
  <si>
    <t>환산벌점(ⓓ)</t>
    <phoneticPr fontId="2" type="noConversion"/>
  </si>
  <si>
    <t>건    수</t>
    <phoneticPr fontId="2" type="noConversion"/>
  </si>
  <si>
    <t>도급비율(%)</t>
    <phoneticPr fontId="2" type="noConversion"/>
  </si>
  <si>
    <t>환산건수ⓐ</t>
    <phoneticPr fontId="2" type="noConversion"/>
  </si>
  <si>
    <t>환산건수ⓑ</t>
    <phoneticPr fontId="2" type="noConversion"/>
  </si>
  <si>
    <t>환산건수ⓒ</t>
    <phoneticPr fontId="2" type="noConversion"/>
  </si>
  <si>
    <t>금    액
(백만원)</t>
    <phoneticPr fontId="2" type="noConversion"/>
  </si>
  <si>
    <t>환산금액ⓐ</t>
    <phoneticPr fontId="2" type="noConversion"/>
  </si>
  <si>
    <t>환산금액ⓑ</t>
    <phoneticPr fontId="2" type="noConversion"/>
  </si>
  <si>
    <t>환산금액ⓒ</t>
    <phoneticPr fontId="2" type="noConversion"/>
  </si>
  <si>
    <t>전차용역 
경과기간</t>
    <phoneticPr fontId="2" type="noConversion"/>
  </si>
  <si>
    <t>점    수</t>
    <phoneticPr fontId="2" type="noConversion"/>
  </si>
  <si>
    <t>전차용역 
참여비율(%)</t>
    <phoneticPr fontId="2" type="noConversion"/>
  </si>
  <si>
    <t>환산점수ⓐ</t>
    <phoneticPr fontId="2" type="noConversion"/>
  </si>
  <si>
    <t>환산점수ⓑ</t>
    <phoneticPr fontId="2" type="noConversion"/>
  </si>
  <si>
    <t>환산점수ⓒ</t>
    <phoneticPr fontId="2" type="noConversion"/>
  </si>
  <si>
    <t>접수번호</t>
    <phoneticPr fontId="2" type="noConversion"/>
  </si>
  <si>
    <t>환산건수ⓔ</t>
    <phoneticPr fontId="2" type="noConversion"/>
  </si>
  <si>
    <t>환산건수의 합(ⓐ+ⓑ+ⓒ+ⓓ+ⓔ)</t>
    <phoneticPr fontId="2" type="noConversion"/>
  </si>
  <si>
    <t>환산건수ⓓ</t>
    <phoneticPr fontId="2" type="noConversion"/>
  </si>
  <si>
    <t>환산금액ⓓ</t>
    <phoneticPr fontId="2" type="noConversion"/>
  </si>
  <si>
    <t>환산금액ⓔ</t>
    <phoneticPr fontId="2" type="noConversion"/>
  </si>
  <si>
    <t>환산금액의 합(ⓐ+ⓑ+ⓒ+ⓓ+ⓔ)</t>
    <phoneticPr fontId="2" type="noConversion"/>
  </si>
  <si>
    <r>
      <t>ㆍ신용평가 등급</t>
    </r>
    <r>
      <rPr>
        <sz val="10"/>
        <color indexed="8"/>
        <rFont val="맑은 고딕"/>
        <family val="3"/>
        <charset val="129"/>
      </rPr>
      <t xml:space="preserve">
BBB-이상       :3.0점
B-이상~BBB-미만:2.8점
CCC+이하       :2.1점
미제출         :0.0점</t>
    </r>
    <phoneticPr fontId="2" type="noConversion"/>
  </si>
  <si>
    <t>환산점수ⓔ</t>
    <phoneticPr fontId="2" type="noConversion"/>
  </si>
  <si>
    <t>환산점수ⓔ</t>
    <phoneticPr fontId="2" type="noConversion"/>
  </si>
  <si>
    <t>전차용역 점수(ⓐ+ⓑ+ⓒ+ⓓ+ⓔ)</t>
    <phoneticPr fontId="2" type="noConversion"/>
  </si>
  <si>
    <t>환산벌점(ⓔ)</t>
    <phoneticPr fontId="2" type="noConversion"/>
  </si>
  <si>
    <t>환산벌점의 합(ⓐ+ⓑ+ⓒ+ⓓ+ⓔ)</t>
    <phoneticPr fontId="2" type="noConversion"/>
  </si>
  <si>
    <t>환산점수ⓔ</t>
    <phoneticPr fontId="2" type="noConversion"/>
  </si>
  <si>
    <t>환산점수의 합(ⓐ+ⓑ+ⓒ+ⓓ+ⓔ)</t>
    <phoneticPr fontId="2" type="noConversion"/>
  </si>
  <si>
    <t>환산건수ⓔ</t>
    <phoneticPr fontId="2" type="noConversion"/>
  </si>
  <si>
    <t>환산건수의 합(ⓐ+ⓑ+ⓒ+ⓓ+ⓔ)</t>
    <phoneticPr fontId="2" type="noConversion"/>
  </si>
  <si>
    <t>환산비율(%)ⓔ</t>
    <phoneticPr fontId="2" type="noConversion"/>
  </si>
  <si>
    <t>&lt;---- 전차용역 과업명 입력(용역기간 : '00.00.00 ~ '00.00.00)</t>
    <phoneticPr fontId="2" type="noConversion"/>
  </si>
  <si>
    <t>용역기간</t>
    <phoneticPr fontId="11" type="noConversion"/>
  </si>
  <si>
    <t>참여기술자</t>
    <phoneticPr fontId="11" type="noConversion"/>
  </si>
  <si>
    <t>신용도</t>
    <phoneticPr fontId="11" type="noConversion"/>
  </si>
  <si>
    <t>업무중첩도</t>
    <phoneticPr fontId="11" type="noConversion"/>
  </si>
  <si>
    <t>이름</t>
    <phoneticPr fontId="11" type="noConversion"/>
  </si>
  <si>
    <t>자격</t>
    <phoneticPr fontId="11" type="noConversion"/>
  </si>
  <si>
    <t>사업책임</t>
    <phoneticPr fontId="11" type="noConversion"/>
  </si>
  <si>
    <t>업체평가</t>
    <phoneticPr fontId="11" type="noConversion"/>
  </si>
  <si>
    <t>업체명</t>
    <phoneticPr fontId="11" type="noConversion"/>
  </si>
  <si>
    <t>도급율</t>
    <phoneticPr fontId="11" type="noConversion"/>
  </si>
  <si>
    <t>유사용역</t>
    <phoneticPr fontId="11" type="noConversion"/>
  </si>
  <si>
    <t>전차용역</t>
    <phoneticPr fontId="11" type="noConversion"/>
  </si>
  <si>
    <t>신용도</t>
    <phoneticPr fontId="11" type="noConversion"/>
  </si>
  <si>
    <t>재정건실도</t>
    <phoneticPr fontId="11" type="noConversion"/>
  </si>
  <si>
    <t>기술개발실적(건수)</t>
    <phoneticPr fontId="11" type="noConversion"/>
  </si>
  <si>
    <t>투자실적(백만원)</t>
    <phoneticPr fontId="11" type="noConversion"/>
  </si>
  <si>
    <t>활용실적(점수)</t>
    <phoneticPr fontId="11" type="noConversion"/>
  </si>
  <si>
    <t>건수</t>
    <phoneticPr fontId="11" type="noConversion"/>
  </si>
  <si>
    <t>신용평가등급</t>
    <phoneticPr fontId="11" type="noConversion"/>
  </si>
  <si>
    <t>신기술</t>
    <phoneticPr fontId="11" type="noConversion"/>
  </si>
  <si>
    <t>특허</t>
    <phoneticPr fontId="11" type="noConversion"/>
  </si>
  <si>
    <t>실용실안</t>
    <phoneticPr fontId="11" type="noConversion"/>
  </si>
  <si>
    <t>투자금액</t>
    <phoneticPr fontId="11" type="noConversion"/>
  </si>
  <si>
    <t>건설매출액</t>
    <phoneticPr fontId="11" type="noConversion"/>
  </si>
  <si>
    <t>대표사</t>
    <phoneticPr fontId="11" type="noConversion"/>
  </si>
  <si>
    <t>참여1</t>
    <phoneticPr fontId="11" type="noConversion"/>
  </si>
  <si>
    <t>참여2</t>
    <phoneticPr fontId="11" type="noConversion"/>
  </si>
  <si>
    <t>참여3</t>
    <phoneticPr fontId="11" type="noConversion"/>
  </si>
  <si>
    <t>참여4</t>
    <phoneticPr fontId="11" type="noConversion"/>
  </si>
  <si>
    <t>기술자평가</t>
    <phoneticPr fontId="11" type="noConversion"/>
  </si>
  <si>
    <t>※ 작성유의사항</t>
    <phoneticPr fontId="2" type="noConversion"/>
  </si>
  <si>
    <t>중급</t>
    <phoneticPr fontId="2" type="noConversion"/>
  </si>
  <si>
    <t>실적(건수)</t>
    <phoneticPr fontId="11" type="noConversion"/>
  </si>
  <si>
    <t>중복개월
(개월수)</t>
    <phoneticPr fontId="11" type="noConversion"/>
  </si>
  <si>
    <t>교육 (주)</t>
    <phoneticPr fontId="11" type="noConversion"/>
  </si>
  <si>
    <t>환산경력
(년,월)</t>
    <phoneticPr fontId="11" type="noConversion"/>
  </si>
  <si>
    <t>금액(백만원)</t>
    <phoneticPr fontId="11" type="noConversion"/>
  </si>
  <si>
    <t>경과기간
(년)</t>
    <phoneticPr fontId="11" type="noConversion"/>
  </si>
  <si>
    <t>감점점수
(계산점수)</t>
    <phoneticPr fontId="11" type="noConversion"/>
  </si>
  <si>
    <t>업무정지
(계산점수)</t>
    <phoneticPr fontId="11" type="noConversion"/>
  </si>
  <si>
    <t>부실벌점
(계산점수)</t>
    <phoneticPr fontId="11" type="noConversion"/>
  </si>
  <si>
    <t>부실벌점
(계산점수)</t>
    <phoneticPr fontId="11" type="noConversion"/>
  </si>
  <si>
    <t>점수
(계산점수)</t>
    <phoneticPr fontId="11" type="noConversion"/>
  </si>
  <si>
    <t>신기술
(건수)</t>
    <phoneticPr fontId="11" type="noConversion"/>
  </si>
  <si>
    <t>특허
(건수)</t>
    <phoneticPr fontId="11" type="noConversion"/>
  </si>
  <si>
    <t>실용실안
(건수)</t>
    <phoneticPr fontId="11" type="noConversion"/>
  </si>
  <si>
    <t>수자원</t>
  </si>
  <si>
    <t>분야
책임</t>
    <phoneticPr fontId="11" type="noConversion"/>
  </si>
  <si>
    <t>분야
참여</t>
    <phoneticPr fontId="11" type="noConversion"/>
  </si>
  <si>
    <t>실무
기술인</t>
    <phoneticPr fontId="11" type="noConversion"/>
  </si>
  <si>
    <t>해당없음</t>
    <phoneticPr fontId="2" type="noConversion"/>
  </si>
  <si>
    <t>※ 노란색 셀 자동 입력됨</t>
    <phoneticPr fontId="2" type="noConversion"/>
  </si>
  <si>
    <t>OOO</t>
    <phoneticPr fontId="2" type="noConversion"/>
  </si>
  <si>
    <t>: 총괄표 점수에 반영됨</t>
    <phoneticPr fontId="2" type="noConversion"/>
  </si>
  <si>
    <t>특급</t>
    <phoneticPr fontId="2" type="noConversion"/>
  </si>
  <si>
    <t>수질</t>
  </si>
  <si>
    <t>A-</t>
    <phoneticPr fontId="2" type="noConversion"/>
  </si>
  <si>
    <t>BB+</t>
    <phoneticPr fontId="2" type="noConversion"/>
  </si>
  <si>
    <t>수질</t>
    <phoneticPr fontId="2" type="noConversion"/>
  </si>
  <si>
    <t>용 역 명</t>
    <phoneticPr fontId="11" type="noConversion"/>
  </si>
  <si>
    <t>업 체 명</t>
    <phoneticPr fontId="11" type="noConversion"/>
  </si>
  <si>
    <t>홍길동1</t>
  </si>
  <si>
    <t>홍길동2</t>
  </si>
  <si>
    <t>홍길동3</t>
  </si>
  <si>
    <t>홍길동4</t>
  </si>
  <si>
    <t>홍길동5</t>
  </si>
  <si>
    <t>홍길동6</t>
  </si>
  <si>
    <t>홍길동7</t>
  </si>
  <si>
    <t>홍길동8</t>
  </si>
  <si>
    <t>홍길동9</t>
  </si>
  <si>
    <t xml:space="preserve">    ㆍ 특  급 : 3.0점
    ㆍ 고  급 : 1.5점  </t>
    <phoneticPr fontId="2" type="noConversion"/>
  </si>
  <si>
    <t>ㆍ 15년 이상 : 4.0점
ㆍ 13년 이상 : 3.0점
ㆍ 11년 이상 : 2.0점
ㆍ 11년 미만 : 1.0점</t>
    <phoneticPr fontId="2" type="noConversion"/>
  </si>
  <si>
    <r>
      <t>ㆍ건수기준 :</t>
    </r>
    <r>
      <rPr>
        <sz val="11"/>
        <rFont val="맑은 고딕"/>
        <family val="3"/>
        <charset val="129"/>
      </rPr>
      <t xml:space="preserve">
- 10건이상 :  5.0점
-  8건이상 :  4.5점
-  6건이상 :  4.0점
-  4건이상 :  3.5점
-  4건미만 :  3.0점</t>
    </r>
    <phoneticPr fontId="2" type="noConversion"/>
  </si>
  <si>
    <t>ㆍ특급,고급:4.0점
ㆍ중    급:2.0점
ㆍ초    급:1.0점</t>
    <phoneticPr fontId="2" type="noConversion"/>
  </si>
  <si>
    <t>ㆍ7건이상:8.0점
ㆍ 6건이상:7.2점
ㆍ 5건이상:6.4점
ㆍ 4건이상:5.6점
ㆍ 4건미만:4.8점</t>
    <phoneticPr fontId="2" type="noConversion"/>
  </si>
  <si>
    <t>ㆍ중급이상:4.0점
ㆍ초    급:2.0점</t>
    <phoneticPr fontId="2" type="noConversion"/>
  </si>
  <si>
    <t>ㆍ 5년이상:5.0점
ㆍ 4.5년이상:4.5점
ㆍ 4.0년이상:4.0점
ㆍ 3.5년이상:3.5점
ㆍ 3.5년미만:3.0점</t>
    <phoneticPr fontId="2" type="noConversion"/>
  </si>
  <si>
    <r>
      <t xml:space="preserve">ㆍ최근이적기간 :
</t>
    </r>
    <r>
      <rPr>
        <sz val="11"/>
        <rFont val="맑은 고딕"/>
        <family val="3"/>
        <charset val="129"/>
      </rPr>
      <t xml:space="preserve">  - 3개월 미만   : x 0.6
  - 3개월이상 6개월미만 
                 : x 0.8 
  - 6개월 이상  : x 1.0</t>
    </r>
    <phoneticPr fontId="2" type="noConversion"/>
  </si>
  <si>
    <r>
      <t xml:space="preserve">ㆍ잔여개월수
</t>
    </r>
    <r>
      <rPr>
        <sz val="11"/>
        <color indexed="8"/>
        <rFont val="맑은 고딕"/>
        <family val="3"/>
        <charset val="129"/>
      </rPr>
      <t xml:space="preserve"> - 300%미만      : 3.0점
 - 300%~400%미만 : 2.7점
 - 400%~500%미만 : 2.4점
 - 500%~600%미만 : 2.1점
 - 600%이상      : 1.8점</t>
    </r>
    <phoneticPr fontId="2" type="noConversion"/>
  </si>
  <si>
    <t>ㆍ잔여개월수
 - 300%미만      : 4.0점
 - 300%~400%미만 : 3.6점
 - 400%~500%미만 : 3.2점
 - 500%~600%미만 : 2.8점
 - 600%이상      : 2.4점</t>
    <phoneticPr fontId="2" type="noConversion"/>
  </si>
  <si>
    <t>ㆍ잔여개월수
 - 300%미만      : 2.0점
 - 300%~400%미만 : 1.8점
 - 400%~500%미만 : 1.6점
 - 500%~600%미만 : 1.4점
 - 600%이상      : 1.2점</t>
    <phoneticPr fontId="2" type="noConversion"/>
  </si>
  <si>
    <t>ㆍ잔여개월수
 - 300%미만      : 1.0점
 - 300%~400%미만 : 0.8점
 - 400%~500%미만 : 0.6점
 - 500%~600%미만 : 0.4점
 - 600%이상      : 0.2점</t>
    <phoneticPr fontId="2" type="noConversion"/>
  </si>
  <si>
    <t>ㆍ누계 부실벌점에
  따라 감점
 1∼2점미만:-0.2점
 2∼5점미만:-0.5점
5∼10점미만:-1점
10∼15점미만:-2점
15∼20점미만:-3점
    20점이상:-5점</t>
    <phoneticPr fontId="2" type="noConversion"/>
  </si>
  <si>
    <t xml:space="preserve">○ 용 역 명 : </t>
    <phoneticPr fontId="2" type="noConversion"/>
  </si>
  <si>
    <t>○ 제출업체 :</t>
    <phoneticPr fontId="2" type="noConversion"/>
  </si>
  <si>
    <t>구   분</t>
    <phoneticPr fontId="2" type="noConversion"/>
  </si>
  <si>
    <t>평가결과</t>
    <phoneticPr fontId="2" type="noConversion"/>
  </si>
  <si>
    <t xml:space="preserve">                                                        회  사  별
  구    분</t>
    <phoneticPr fontId="2" type="noConversion"/>
  </si>
  <si>
    <t>세부평가표</t>
    <phoneticPr fontId="2" type="noConversion"/>
  </si>
  <si>
    <t xml:space="preserve">                                       회사별
   구     분</t>
    <phoneticPr fontId="2" type="noConversion"/>
  </si>
  <si>
    <t xml:space="preserve">                                                             회사별
     구   분</t>
    <phoneticPr fontId="2" type="noConversion"/>
  </si>
  <si>
    <t xml:space="preserve">                                                         회사별
   구      분</t>
    <phoneticPr fontId="2" type="noConversion"/>
  </si>
  <si>
    <t xml:space="preserve">                                                        회사별
   구     분</t>
    <phoneticPr fontId="2" type="noConversion"/>
  </si>
  <si>
    <t xml:space="preserve">                                                   회사별
   구     분</t>
    <phoneticPr fontId="2" type="noConversion"/>
  </si>
  <si>
    <t>가점</t>
    <phoneticPr fontId="2" type="noConversion"/>
  </si>
  <si>
    <t>젊은기술인 참여</t>
    <phoneticPr fontId="2" type="noConversion"/>
  </si>
  <si>
    <t xml:space="preserve">  가. 건설기술자 신규고용 (배점 : 0.3점)       </t>
    <phoneticPr fontId="2" type="noConversion"/>
  </si>
  <si>
    <t xml:space="preserve">  나. 젊은 기술인 참여 (배점 : 0.2점)       </t>
    <phoneticPr fontId="2" type="noConversion"/>
  </si>
  <si>
    <t xml:space="preserve">1.입력 셀(       만 기입할 것, 뒷 탭은 자동 연동되어 총괄표 자동작성됨)  </t>
    <phoneticPr fontId="2" type="noConversion"/>
  </si>
  <si>
    <t>소속</t>
    <phoneticPr fontId="2" type="noConversion"/>
  </si>
  <si>
    <t>A엔지니어링</t>
    <phoneticPr fontId="2" type="noConversion"/>
  </si>
  <si>
    <t>B엔지니어링</t>
    <phoneticPr fontId="2" type="noConversion"/>
  </si>
  <si>
    <t>C엔지니어링</t>
    <phoneticPr fontId="2" type="noConversion"/>
  </si>
  <si>
    <t>D엔지니어링</t>
    <phoneticPr fontId="2" type="noConversion"/>
  </si>
  <si>
    <t>E엔지니어링</t>
    <phoneticPr fontId="2" type="noConversion"/>
  </si>
  <si>
    <t xml:space="preserve">2. 입력 시트 이후(총괄표 ~ 가점시트)는 자동 작성 되므로 임의 편집 절대 금지.
</t>
    <phoneticPr fontId="2" type="noConversion"/>
  </si>
  <si>
    <t xml:space="preserve"> 6. 가점(건설기술자 신규고용, 젊은 기술인 참여)</t>
    <phoneticPr fontId="2" type="noConversion"/>
  </si>
  <si>
    <t>토질</t>
    <phoneticPr fontId="2" type="noConversion"/>
  </si>
  <si>
    <t>구조</t>
    <phoneticPr fontId="2" type="noConversion"/>
  </si>
  <si>
    <t>홍길동10 등 2명</t>
    <phoneticPr fontId="2" type="noConversion"/>
  </si>
  <si>
    <t>홍길동11 등 3명</t>
    <phoneticPr fontId="2" type="noConversion"/>
  </si>
  <si>
    <t>홍길동12 등 2명</t>
    <phoneticPr fontId="2" type="noConversion"/>
  </si>
  <si>
    <t>홍길동13 등 2명</t>
    <phoneticPr fontId="2" type="noConversion"/>
  </si>
  <si>
    <t>근무경력 5년 미만기술인/전체참여인원수(%)</t>
    <phoneticPr fontId="2" type="noConversion"/>
  </si>
  <si>
    <t>건설기술자 
신규고용율(%)</t>
    <phoneticPr fontId="2" type="noConversion"/>
  </si>
  <si>
    <t>참여율(%)</t>
    <phoneticPr fontId="2" type="noConversion"/>
  </si>
  <si>
    <t>젊은 기술인 참여</t>
    <phoneticPr fontId="2" type="noConversion"/>
  </si>
  <si>
    <t>전체참여인원</t>
    <phoneticPr fontId="2" type="noConversion"/>
  </si>
  <si>
    <t>근무경력5년미만기술인</t>
    <phoneticPr fontId="2" type="noConversion"/>
  </si>
  <si>
    <t>ㆍ 젊은기술인 참여
1% 이상 : 0.10점
3% 이상 : 0.15점
5% 이상 : 0.20점</t>
    <phoneticPr fontId="2" type="noConversion"/>
  </si>
  <si>
    <t>참여율(%)</t>
    <phoneticPr fontId="2" type="noConversion"/>
  </si>
  <si>
    <t>5년미만
참여기술인(명)</t>
    <phoneticPr fontId="2" type="noConversion"/>
  </si>
  <si>
    <t>전체참여인원(명)</t>
    <phoneticPr fontId="2" type="noConversion"/>
  </si>
  <si>
    <t>영업(업무)
정지기간
(개월)</t>
    <phoneticPr fontId="11" type="noConversion"/>
  </si>
  <si>
    <t xml:space="preserve">     1)용역사업자 </t>
    <phoneticPr fontId="2" type="noConversion"/>
  </si>
  <si>
    <t xml:space="preserve">  가. 업무정지 (배점 :  7점)</t>
    <phoneticPr fontId="2" type="noConversion"/>
  </si>
  <si>
    <t>업무정지기간</t>
    <phoneticPr fontId="2" type="noConversion"/>
  </si>
  <si>
    <t xml:space="preserve">     1)용역사업자</t>
    <phoneticPr fontId="2" type="noConversion"/>
  </si>
  <si>
    <t>업무정지</t>
    <phoneticPr fontId="2" type="noConversion"/>
  </si>
  <si>
    <t>금차용역 
참여비율(%)</t>
    <phoneticPr fontId="2" type="noConversion"/>
  </si>
  <si>
    <t>전차참여
비율</t>
    <phoneticPr fontId="2" type="noConversion"/>
  </si>
  <si>
    <t>용역수행평가</t>
    <phoneticPr fontId="11" type="noConversion"/>
  </si>
  <si>
    <r>
      <t xml:space="preserve">  </t>
    </r>
    <r>
      <rPr>
        <b/>
        <sz val="11"/>
        <rFont val="맑은 고딕"/>
        <family val="3"/>
        <charset val="129"/>
      </rPr>
      <t>- 건수기준</t>
    </r>
    <r>
      <rPr>
        <sz val="11"/>
        <rFont val="맑은 고딕"/>
        <family val="3"/>
        <charset val="129"/>
      </rPr>
      <t xml:space="preserve">
   5건 이상:6.0점
   4건 이상:5.4점
   3건 이상:4.8점
   2건 이상:4.2점
   2건 미만:3.6점</t>
    </r>
    <phoneticPr fontId="2" type="noConversion"/>
  </si>
  <si>
    <r>
      <t xml:space="preserve">  </t>
    </r>
    <r>
      <rPr>
        <b/>
        <sz val="11"/>
        <rFont val="맑은 고딕"/>
        <family val="3"/>
        <charset val="129"/>
      </rPr>
      <t>- 금액기준</t>
    </r>
    <r>
      <rPr>
        <sz val="11"/>
        <rFont val="맑은 고딕"/>
        <family val="3"/>
        <charset val="129"/>
      </rPr>
      <t xml:space="preserve">
   50억이상:6.0점
   35억이상:5.4점
   20억이상:4.8점
   5억이상:4.2점
   5억미만:3.6점</t>
    </r>
    <phoneticPr fontId="2" type="noConversion"/>
  </si>
  <si>
    <t xml:space="preserve">     2)금액기준 (배점 : 6점)</t>
    <phoneticPr fontId="2" type="noConversion"/>
  </si>
  <si>
    <t xml:space="preserve">     4)용역수행성과 (배점 : 2점)</t>
    <phoneticPr fontId="2" type="noConversion"/>
  </si>
  <si>
    <t>평가실적
(건수)</t>
    <phoneticPr fontId="11" type="noConversion"/>
  </si>
  <si>
    <t>평가점수
(평균)</t>
    <phoneticPr fontId="2" type="noConversion"/>
  </si>
  <si>
    <t>평가실적
(건)</t>
    <phoneticPr fontId="2" type="noConversion"/>
  </si>
  <si>
    <t>용역수행평가</t>
    <phoneticPr fontId="2" type="noConversion"/>
  </si>
  <si>
    <t>전차용역
(계산점수)</t>
    <phoneticPr fontId="7" type="noConversion"/>
  </si>
  <si>
    <t>이적감점
(계산점수)</t>
    <phoneticPr fontId="7" type="noConversion"/>
  </si>
  <si>
    <r>
      <t xml:space="preserve">  </t>
    </r>
    <r>
      <rPr>
        <b/>
        <sz val="11"/>
        <rFont val="맑은 고딕"/>
        <family val="3"/>
        <charset val="129"/>
      </rPr>
      <t>- 절대평가</t>
    </r>
    <r>
      <rPr>
        <sz val="11"/>
        <rFont val="맑은 고딕"/>
        <family val="3"/>
        <charset val="129"/>
      </rPr>
      <t xml:space="preserve">
   95점이상:2.0점
   92점이상:1.8점
   89점이상:1.6점
   86점이상:1.4점
   86점미만:1.2점
* 실적이 없는 경우
  '1.6'의 점수부여</t>
    </r>
    <phoneticPr fontId="2" type="noConversion"/>
  </si>
  <si>
    <t>절대평가</t>
    <phoneticPr fontId="2" type="noConversion"/>
  </si>
  <si>
    <t>절대평가
(점수)</t>
    <phoneticPr fontId="11" type="noConversion"/>
  </si>
  <si>
    <t>해당없음</t>
    <phoneticPr fontId="2" type="noConversion"/>
  </si>
  <si>
    <r>
      <t xml:space="preserve">
</t>
    </r>
    <r>
      <rPr>
        <b/>
        <sz val="11"/>
        <rFont val="맑은 고딕"/>
        <family val="3"/>
        <charset val="129"/>
      </rPr>
      <t xml:space="preserve">
ㆍ전차 점수</t>
    </r>
    <r>
      <rPr>
        <sz val="11"/>
        <rFont val="맑은 고딕"/>
        <family val="3"/>
        <charset val="129"/>
      </rPr>
      <t xml:space="preserve">
    3년 미만:1.0점
    5년 미만:0.8점
   10년 미만:0.6점
   10년 이상:0점</t>
    </r>
    <r>
      <rPr>
        <b/>
        <sz val="11"/>
        <rFont val="맑은 고딕"/>
        <family val="3"/>
        <charset val="129"/>
      </rPr>
      <t xml:space="preserve">
</t>
    </r>
    <r>
      <rPr>
        <b/>
        <sz val="11"/>
        <color indexed="10"/>
        <rFont val="맑은 고딕"/>
        <family val="3"/>
        <charset val="129"/>
      </rPr>
      <t/>
    </r>
    <phoneticPr fontId="2" type="noConversion"/>
  </si>
  <si>
    <r>
      <t xml:space="preserve">ㆍ사업책임기술자 점수 :
</t>
    </r>
    <r>
      <rPr>
        <sz val="11"/>
        <rFont val="맑은 고딕"/>
        <family val="3"/>
        <charset val="129"/>
      </rPr>
      <t>ㆍ3년미만:0.5점
ㆍ5년미만:0.4점
ㆍ10년미만:0.3점
ㆍ10년이상:0점</t>
    </r>
    <r>
      <rPr>
        <sz val="8"/>
        <rFont val="맑은 고딕"/>
        <family val="3"/>
        <charset val="129"/>
      </rPr>
      <t xml:space="preserve">
</t>
    </r>
    <r>
      <rPr>
        <b/>
        <sz val="11"/>
        <rFont val="맑은 고딕"/>
        <family val="3"/>
        <charset val="129"/>
      </rPr>
      <t>ㆍ분야별책임기술자 점수 :</t>
    </r>
    <r>
      <rPr>
        <sz val="11"/>
        <rFont val="맑은 고딕"/>
        <family val="3"/>
        <charset val="129"/>
      </rPr>
      <t xml:space="preserve">
ㆍ3년미만:0.5점
ㆍ5년미만:0.4점
ㆍ10년미만:0.3점
ㆍ10년이상:0점</t>
    </r>
    <phoneticPr fontId="2" type="noConversion"/>
  </si>
  <si>
    <t>OO OO천(OO지구) 지방하천 정비사업 실시설계용역</t>
    <phoneticPr fontId="2" type="noConversion"/>
  </si>
  <si>
    <t xml:space="preserve">     1)교육훈련 (배점 : 2점) </t>
    <phoneticPr fontId="2" type="noConversion"/>
  </si>
  <si>
    <t xml:space="preserve">   2)전차용역(참여기술자) (배점 : 0점)</t>
    <phoneticPr fontId="2" type="noConversion"/>
  </si>
  <si>
    <t xml:space="preserve">     1)건수기준 (배점 : 7점)</t>
    <phoneticPr fontId="2" type="noConversion"/>
  </si>
  <si>
    <t xml:space="preserve">     3)전차용역(업체) (배점 : 0점)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</si>
</sst>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1" formatCode="_-* #,##0_-;\-* #,##0_-;_-* &quot;-&quot;_-;_-@_-"/>
    <numFmt numFmtId="176" formatCode="0.0"/>
    <numFmt numFmtId="177" formatCode="#,##0_ "/>
    <numFmt numFmtId="178" formatCode="#,##0.00_ "/>
    <numFmt numFmtId="179" formatCode="0.00\ %"/>
    <numFmt numFmtId="180" formatCode="0\ &quot;주&quot;"/>
    <numFmt numFmtId="181" formatCode="0.00\ &quot;점&quot;"/>
    <numFmt numFmtId="182" formatCode="0.00\ &quot;건&quot;"/>
    <numFmt numFmtId="183" formatCode="0.0\ &quot;개월&quot;"/>
    <numFmt numFmtId="184" formatCode="0.0_ "/>
    <numFmt numFmtId="185" formatCode="0.00_ "/>
    <numFmt numFmtId="186" formatCode="0_ "/>
    <numFmt numFmtId="187" formatCode="yy&quot;년&quot;mm&quot;월&quot;"/>
    <numFmt numFmtId="188" formatCode="#,##0_ &quot;백&quot;&quot;만&quot;"/>
    <numFmt numFmtId="189" formatCode="0&quot;개분야&quot;"/>
    <numFmt numFmtId="190" formatCode="&quot;(당해용역기간 : &quot;##.0&quot;개월)&quot;"/>
    <numFmt numFmtId="191" formatCode="0\ &quot;백만&quot;"/>
    <numFmt numFmtId="192" formatCode="#,##0_);[Red]\(#,##0\)"/>
    <numFmt numFmtId="193" formatCode="0&quot; 개월&quot;"/>
    <numFmt numFmtId="194" formatCode="0.0&quot;개월&quot;"/>
    <numFmt numFmtId="195" formatCode="0&quot; 자기평가서&quot;"/>
    <numFmt numFmtId="196" formatCode="0&quot;개월&quot;"/>
    <numFmt numFmtId="197" formatCode="#,##0.0_ "/>
    <numFmt numFmtId="198" formatCode="0.0&quot;년&quot;"/>
    <numFmt numFmtId="199" formatCode="0.0%"/>
    <numFmt numFmtId="200" formatCode="#,##0.00_);[Red]\(#,##0.00\)"/>
  </numFmts>
  <fonts count="5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</font>
    <font>
      <b/>
      <sz val="20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sz val="8"/>
      <name val="맑은 고딕"/>
      <family val="3"/>
      <charset val="129"/>
    </font>
    <font>
      <b/>
      <sz val="11"/>
      <name val="돋움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b/>
      <sz val="16"/>
      <color indexed="8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11"/>
      <color indexed="8"/>
      <name val="맑은 고딕"/>
      <family val="3"/>
      <charset val="129"/>
      <scheme val="major"/>
    </font>
    <font>
      <b/>
      <sz val="9"/>
      <color indexed="8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2"/>
      <color indexed="8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12"/>
      <color indexed="8"/>
      <name val="맑은 고딕"/>
      <family val="3"/>
      <charset val="129"/>
      <scheme val="major"/>
    </font>
    <font>
      <b/>
      <sz val="14"/>
      <color indexed="8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b/>
      <sz val="11"/>
      <color indexed="10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6"/>
      <color rgb="FFFF0000"/>
      <name val="맑은 고딕"/>
      <family val="3"/>
      <charset val="129"/>
      <scheme val="major"/>
    </font>
    <font>
      <b/>
      <sz val="12"/>
      <color rgb="FF0000FF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b/>
      <sz val="12"/>
      <color rgb="FFFF000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b/>
      <sz val="11"/>
      <color rgb="FFFF0000"/>
      <name val="돋움"/>
      <family val="3"/>
      <charset val="129"/>
    </font>
    <font>
      <sz val="11"/>
      <color rgb="FFFF0000"/>
      <name val="돋움"/>
      <family val="3"/>
      <charset val="129"/>
    </font>
    <font>
      <sz val="11"/>
      <color rgb="FF0000FF"/>
      <name val="돋움"/>
      <family val="3"/>
      <charset val="129"/>
    </font>
    <font>
      <sz val="10"/>
      <color rgb="FF0066FF"/>
      <name val="맑은 고딕"/>
      <family val="3"/>
      <charset val="129"/>
      <scheme val="major"/>
    </font>
    <font>
      <b/>
      <sz val="12"/>
      <name val="굴림"/>
      <family val="3"/>
      <charset val="129"/>
    </font>
    <font>
      <sz val="22"/>
      <name val="HY견명조"/>
      <family val="1"/>
      <charset val="129"/>
    </font>
    <font>
      <b/>
      <sz val="12"/>
      <color theme="1"/>
      <name val="굴림"/>
      <family val="3"/>
      <charset val="129"/>
    </font>
    <font>
      <b/>
      <sz val="11"/>
      <color rgb="FF0000FF"/>
      <name val="돋움"/>
      <family val="3"/>
      <charset val="129"/>
    </font>
    <font>
      <sz val="12"/>
      <color rgb="FFFF0000"/>
      <name val="휴먼명조"/>
      <charset val="129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75">
    <xf numFmtId="0" fontId="0" fillId="0" borderId="0" xfId="0"/>
    <xf numFmtId="0" fontId="17" fillId="0" borderId="0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2" fontId="20" fillId="3" borderId="1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center" vertical="center" shrinkToFit="1"/>
    </xf>
    <xf numFmtId="185" fontId="18" fillId="0" borderId="0" xfId="0" applyNumberFormat="1" applyFont="1"/>
    <xf numFmtId="0" fontId="18" fillId="0" borderId="0" xfId="0" applyFont="1"/>
    <xf numFmtId="0" fontId="17" fillId="0" borderId="0" xfId="0" applyFont="1"/>
    <xf numFmtId="0" fontId="21" fillId="0" borderId="0" xfId="0" applyFont="1" applyBorder="1" applyAlignment="1">
      <alignment horizontal="left" vertical="center"/>
    </xf>
    <xf numFmtId="0" fontId="22" fillId="0" borderId="0" xfId="0" applyFont="1"/>
    <xf numFmtId="2" fontId="23" fillId="3" borderId="1" xfId="0" applyNumberFormat="1" applyFont="1" applyFill="1" applyBorder="1" applyAlignment="1">
      <alignment horizontal="center" vertical="center"/>
    </xf>
    <xf numFmtId="0" fontId="19" fillId="0" borderId="0" xfId="0" applyFont="1" applyFill="1"/>
    <xf numFmtId="0" fontId="24" fillId="0" borderId="0" xfId="0" applyFont="1" applyFill="1" applyBorder="1" applyAlignment="1">
      <alignment horizontal="center" vertical="center"/>
    </xf>
    <xf numFmtId="2" fontId="2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17" fillId="0" borderId="0" xfId="0" applyFont="1" applyBorder="1"/>
    <xf numFmtId="0" fontId="19" fillId="0" borderId="2" xfId="0" applyFont="1" applyFill="1" applyBorder="1" applyAlignment="1">
      <alignment horizontal="center" vertical="center"/>
    </xf>
    <xf numFmtId="189" fontId="23" fillId="3" borderId="1" xfId="0" applyNumberFormat="1" applyFont="1" applyFill="1" applyBorder="1" applyAlignment="1">
      <alignment horizontal="center" vertical="center"/>
    </xf>
    <xf numFmtId="2" fontId="23" fillId="3" borderId="3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/>
    </xf>
    <xf numFmtId="2" fontId="25" fillId="4" borderId="4" xfId="0" applyNumberFormat="1" applyFont="1" applyFill="1" applyBorder="1" applyAlignment="1">
      <alignment horizontal="center" vertical="center"/>
    </xf>
    <xf numFmtId="0" fontId="18" fillId="4" borderId="0" xfId="0" applyFont="1" applyFill="1"/>
    <xf numFmtId="0" fontId="19" fillId="4" borderId="1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2" fontId="25" fillId="0" borderId="0" xfId="0" applyNumberFormat="1" applyFont="1" applyFill="1" applyBorder="1" applyAlignment="1">
      <alignment horizontal="center" vertical="center"/>
    </xf>
    <xf numFmtId="10" fontId="18" fillId="0" borderId="0" xfId="1" applyNumberFormat="1" applyFont="1"/>
    <xf numFmtId="10" fontId="18" fillId="0" borderId="0" xfId="1" applyNumberFormat="1" applyFont="1" applyFill="1"/>
    <xf numFmtId="0" fontId="25" fillId="4" borderId="0" xfId="0" applyFont="1" applyFill="1" applyBorder="1" applyAlignment="1">
      <alignment horizontal="center" vertical="center"/>
    </xf>
    <xf numFmtId="2" fontId="25" fillId="4" borderId="0" xfId="0" applyNumberFormat="1" applyFont="1" applyFill="1" applyBorder="1" applyAlignment="1">
      <alignment horizontal="center" vertical="center"/>
    </xf>
    <xf numFmtId="185" fontId="20" fillId="3" borderId="1" xfId="0" applyNumberFormat="1" applyFont="1" applyFill="1" applyBorder="1" applyAlignment="1">
      <alignment horizontal="center" vertical="center"/>
    </xf>
    <xf numFmtId="0" fontId="17" fillId="0" borderId="0" xfId="0" applyFont="1" applyBorder="1" applyAlignment="1"/>
    <xf numFmtId="0" fontId="19" fillId="0" borderId="0" xfId="0" applyFont="1" applyAlignment="1">
      <alignment vertical="top"/>
    </xf>
    <xf numFmtId="0" fontId="19" fillId="0" borderId="0" xfId="0" applyFont="1"/>
    <xf numFmtId="0" fontId="21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6" fillId="0" borderId="0" xfId="0" applyFont="1"/>
    <xf numFmtId="2" fontId="23" fillId="3" borderId="3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26" fillId="0" borderId="1" xfId="0" applyFont="1" applyFill="1" applyBorder="1" applyAlignment="1">
      <alignment horizontal="center" vertical="center" wrapText="1"/>
    </xf>
    <xf numFmtId="0" fontId="26" fillId="0" borderId="0" xfId="0" applyFont="1" applyFill="1"/>
    <xf numFmtId="10" fontId="26" fillId="0" borderId="1" xfId="0" applyNumberFormat="1" applyFont="1" applyFill="1" applyBorder="1" applyAlignment="1">
      <alignment horizontal="center" vertical="center" wrapText="1"/>
    </xf>
    <xf numFmtId="10" fontId="26" fillId="0" borderId="0" xfId="0" applyNumberFormat="1" applyFont="1" applyFill="1"/>
    <xf numFmtId="0" fontId="26" fillId="0" borderId="1" xfId="0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/>
    </xf>
    <xf numFmtId="2" fontId="25" fillId="0" borderId="4" xfId="0" applyNumberFormat="1" applyFont="1" applyFill="1" applyBorder="1" applyAlignment="1">
      <alignment horizontal="center" vertical="center"/>
    </xf>
    <xf numFmtId="0" fontId="19" fillId="4" borderId="0" xfId="0" applyFont="1" applyFill="1"/>
    <xf numFmtId="0" fontId="19" fillId="0" borderId="1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10" fontId="19" fillId="0" borderId="0" xfId="0" applyNumberFormat="1" applyFont="1" applyFill="1"/>
    <xf numFmtId="185" fontId="23" fillId="3" borderId="1" xfId="0" applyNumberFormat="1" applyFont="1" applyFill="1" applyBorder="1" applyAlignment="1">
      <alignment horizontal="center" vertical="center"/>
    </xf>
    <xf numFmtId="2" fontId="23" fillId="3" borderId="1" xfId="0" applyNumberFormat="1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90" fontId="24" fillId="5" borderId="2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0" fillId="0" borderId="0" xfId="0" applyFont="1"/>
    <xf numFmtId="10" fontId="20" fillId="0" borderId="0" xfId="1" applyNumberFormat="1" applyFont="1"/>
    <xf numFmtId="184" fontId="20" fillId="7" borderId="1" xfId="0" applyNumberFormat="1" applyFont="1" applyFill="1" applyBorder="1" applyAlignment="1">
      <alignment horizontal="center" vertical="center"/>
    </xf>
    <xf numFmtId="0" fontId="28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3" fillId="0" borderId="0" xfId="0" applyFont="1"/>
    <xf numFmtId="0" fontId="29" fillId="0" borderId="0" xfId="0" applyFont="1"/>
    <xf numFmtId="0" fontId="30" fillId="0" borderId="5" xfId="0" applyFont="1" applyBorder="1" applyAlignment="1">
      <alignment vertical="center"/>
    </xf>
    <xf numFmtId="0" fontId="31" fillId="0" borderId="0" xfId="0" applyFont="1" applyBorder="1"/>
    <xf numFmtId="0" fontId="20" fillId="0" borderId="0" xfId="0" applyFont="1" applyAlignment="1"/>
    <xf numFmtId="0" fontId="30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3" fillId="0" borderId="0" xfId="0" applyFont="1" applyAlignment="1"/>
    <xf numFmtId="0" fontId="29" fillId="0" borderId="0" xfId="0" applyFont="1" applyFill="1"/>
    <xf numFmtId="2" fontId="25" fillId="7" borderId="1" xfId="0" applyNumberFormat="1" applyFont="1" applyFill="1" applyBorder="1" applyAlignment="1">
      <alignment horizontal="center" vertical="center"/>
    </xf>
    <xf numFmtId="2" fontId="25" fillId="7" borderId="1" xfId="0" applyNumberFormat="1" applyFont="1" applyFill="1" applyBorder="1" applyAlignment="1">
      <alignment horizontal="center" vertical="center" wrapText="1"/>
    </xf>
    <xf numFmtId="0" fontId="19" fillId="7" borderId="0" xfId="0" applyFont="1" applyFill="1"/>
    <xf numFmtId="0" fontId="26" fillId="7" borderId="0" xfId="0" applyFont="1" applyFill="1"/>
    <xf numFmtId="0" fontId="32" fillId="4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33" fillId="0" borderId="0" xfId="0" applyFont="1" applyBorder="1" applyAlignment="1">
      <alignment vertical="center"/>
    </xf>
    <xf numFmtId="0" fontId="29" fillId="0" borderId="5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0" xfId="0" applyFont="1" applyFill="1"/>
    <xf numFmtId="182" fontId="23" fillId="0" borderId="1" xfId="0" applyNumberFormat="1" applyFont="1" applyFill="1" applyBorder="1" applyAlignment="1">
      <alignment horizontal="center" vertical="center" wrapText="1"/>
    </xf>
    <xf numFmtId="176" fontId="23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2" fontId="23" fillId="0" borderId="6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/>
    </xf>
    <xf numFmtId="179" fontId="20" fillId="0" borderId="1" xfId="0" applyNumberFormat="1" applyFont="1" applyFill="1" applyBorder="1" applyAlignment="1">
      <alignment horizontal="center" vertical="center" wrapText="1"/>
    </xf>
    <xf numFmtId="182" fontId="20" fillId="0" borderId="1" xfId="0" applyNumberFormat="1" applyFont="1" applyFill="1" applyBorder="1" applyAlignment="1">
      <alignment horizontal="center" vertical="center"/>
    </xf>
    <xf numFmtId="177" fontId="20" fillId="0" borderId="1" xfId="2" applyNumberFormat="1" applyFont="1" applyFill="1" applyBorder="1" applyAlignment="1">
      <alignment horizontal="center" vertical="center"/>
    </xf>
    <xf numFmtId="177" fontId="23" fillId="0" borderId="1" xfId="2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 wrapText="1"/>
    </xf>
    <xf numFmtId="10" fontId="25" fillId="0" borderId="1" xfId="0" applyNumberFormat="1" applyFont="1" applyFill="1" applyBorder="1" applyAlignment="1">
      <alignment horizontal="center" vertical="center" wrapText="1"/>
    </xf>
    <xf numFmtId="10" fontId="25" fillId="0" borderId="1" xfId="0" quotePrefix="1" applyNumberFormat="1" applyFont="1" applyFill="1" applyBorder="1" applyAlignment="1">
      <alignment horizontal="center" vertical="center" wrapText="1"/>
    </xf>
    <xf numFmtId="181" fontId="25" fillId="0" borderId="1" xfId="0" applyNumberFormat="1" applyFont="1" applyFill="1" applyBorder="1" applyAlignment="1">
      <alignment horizontal="center" vertical="center"/>
    </xf>
    <xf numFmtId="181" fontId="23" fillId="0" borderId="1" xfId="0" applyNumberFormat="1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 wrapText="1"/>
    </xf>
    <xf numFmtId="2" fontId="34" fillId="0" borderId="1" xfId="0" applyNumberFormat="1" applyFont="1" applyFill="1" applyBorder="1" applyAlignment="1">
      <alignment horizontal="center" vertical="center" wrapText="1"/>
    </xf>
    <xf numFmtId="182" fontId="25" fillId="0" borderId="1" xfId="2" applyNumberFormat="1" applyFont="1" applyFill="1" applyBorder="1" applyAlignment="1">
      <alignment horizontal="center" vertical="center" wrapText="1"/>
    </xf>
    <xf numFmtId="2" fontId="23" fillId="4" borderId="1" xfId="0" applyNumberFormat="1" applyFont="1" applyFill="1" applyBorder="1" applyAlignment="1">
      <alignment horizontal="center" vertical="center"/>
    </xf>
    <xf numFmtId="179" fontId="25" fillId="0" borderId="2" xfId="0" applyNumberFormat="1" applyFont="1" applyFill="1" applyBorder="1" applyAlignment="1">
      <alignment horizontal="center" vertical="center" wrapText="1"/>
    </xf>
    <xf numFmtId="179" fontId="25" fillId="0" borderId="1" xfId="0" applyNumberFormat="1" applyFont="1" applyFill="1" applyBorder="1" applyAlignment="1">
      <alignment horizontal="center" vertical="center" wrapText="1"/>
    </xf>
    <xf numFmtId="179" fontId="23" fillId="0" borderId="1" xfId="0" applyNumberFormat="1" applyFont="1" applyFill="1" applyBorder="1" applyAlignment="1">
      <alignment horizontal="center" vertical="center"/>
    </xf>
    <xf numFmtId="181" fontId="25" fillId="0" borderId="1" xfId="2" applyNumberFormat="1" applyFont="1" applyFill="1" applyBorder="1" applyAlignment="1">
      <alignment horizontal="center" vertical="center" wrapText="1"/>
    </xf>
    <xf numFmtId="181" fontId="23" fillId="4" borderId="1" xfId="0" applyNumberFormat="1" applyFont="1" applyFill="1" applyBorder="1" applyAlignment="1">
      <alignment horizontal="center" vertical="center"/>
    </xf>
    <xf numFmtId="9" fontId="23" fillId="0" borderId="1" xfId="1" applyFont="1" applyBorder="1" applyAlignment="1">
      <alignment horizontal="center" vertical="center"/>
    </xf>
    <xf numFmtId="9" fontId="23" fillId="0" borderId="1" xfId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3" fillId="0" borderId="1" xfId="0" applyFont="1" applyFill="1" applyBorder="1" applyAlignment="1">
      <alignment horizontal="center" vertical="center" shrinkToFit="1"/>
    </xf>
    <xf numFmtId="9" fontId="23" fillId="0" borderId="1" xfId="1" applyFont="1" applyFill="1" applyBorder="1" applyAlignment="1">
      <alignment horizontal="center" vertical="center" shrinkToFit="1"/>
    </xf>
    <xf numFmtId="2" fontId="20" fillId="0" borderId="1" xfId="0" applyNumberFormat="1" applyFont="1" applyFill="1" applyBorder="1" applyAlignment="1">
      <alignment horizontal="center" vertical="center" shrinkToFit="1"/>
    </xf>
    <xf numFmtId="2" fontId="23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/>
    </xf>
    <xf numFmtId="2" fontId="35" fillId="6" borderId="1" xfId="0" applyNumberFormat="1" applyFont="1" applyFill="1" applyBorder="1" applyAlignment="1">
      <alignment horizontal="center" vertical="center"/>
    </xf>
    <xf numFmtId="0" fontId="36" fillId="0" borderId="0" xfId="0" applyFont="1"/>
    <xf numFmtId="0" fontId="26" fillId="8" borderId="1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/>
    </xf>
    <xf numFmtId="177" fontId="25" fillId="8" borderId="1" xfId="2" applyNumberFormat="1" applyFont="1" applyFill="1" applyBorder="1" applyAlignment="1">
      <alignment horizontal="center" vertical="center" shrinkToFit="1"/>
    </xf>
    <xf numFmtId="0" fontId="19" fillId="8" borderId="1" xfId="0" applyFont="1" applyFill="1" applyBorder="1" applyAlignment="1">
      <alignment horizontal="center" vertical="center"/>
    </xf>
    <xf numFmtId="183" fontId="23" fillId="8" borderId="1" xfId="0" applyNumberFormat="1" applyFont="1" applyFill="1" applyBorder="1" applyAlignment="1">
      <alignment horizontal="center" vertical="center"/>
    </xf>
    <xf numFmtId="183" fontId="23" fillId="8" borderId="1" xfId="0" applyNumberFormat="1" applyFont="1" applyFill="1" applyBorder="1" applyAlignment="1">
      <alignment horizontal="center" vertical="center" shrinkToFit="1"/>
    </xf>
    <xf numFmtId="2" fontId="25" fillId="8" borderId="1" xfId="0" applyNumberFormat="1" applyFont="1" applyFill="1" applyBorder="1" applyAlignment="1">
      <alignment horizontal="center" vertical="center"/>
    </xf>
    <xf numFmtId="0" fontId="25" fillId="8" borderId="1" xfId="0" applyFont="1" applyFill="1" applyBorder="1" applyAlignment="1">
      <alignment horizontal="center" vertical="center" wrapText="1"/>
    </xf>
    <xf numFmtId="181" fontId="25" fillId="8" borderId="1" xfId="0" applyNumberFormat="1" applyFont="1" applyFill="1" applyBorder="1" applyAlignment="1">
      <alignment horizontal="center" vertical="center"/>
    </xf>
    <xf numFmtId="177" fontId="25" fillId="8" borderId="1" xfId="2" applyNumberFormat="1" applyFont="1" applyFill="1" applyBorder="1" applyAlignment="1">
      <alignment horizontal="center" vertical="center" wrapText="1"/>
    </xf>
    <xf numFmtId="178" fontId="25" fillId="8" borderId="1" xfId="2" applyNumberFormat="1" applyFont="1" applyFill="1" applyBorder="1" applyAlignment="1">
      <alignment horizontal="center" vertical="center" wrapText="1"/>
    </xf>
    <xf numFmtId="177" fontId="34" fillId="8" borderId="1" xfId="2" applyNumberFormat="1" applyFont="1" applyFill="1" applyBorder="1" applyAlignment="1">
      <alignment horizontal="center" vertical="center" wrapText="1"/>
    </xf>
    <xf numFmtId="178" fontId="34" fillId="8" borderId="1" xfId="2" applyNumberFormat="1" applyFont="1" applyFill="1" applyBorder="1" applyAlignment="1">
      <alignment horizontal="center" vertical="center" wrapText="1"/>
    </xf>
    <xf numFmtId="182" fontId="20" fillId="8" borderId="1" xfId="0" applyNumberFormat="1" applyFont="1" applyFill="1" applyBorder="1" applyAlignment="1">
      <alignment horizontal="center" vertical="center" wrapText="1"/>
    </xf>
    <xf numFmtId="179" fontId="20" fillId="8" borderId="1" xfId="0" applyNumberFormat="1" applyFont="1" applyFill="1" applyBorder="1" applyAlignment="1">
      <alignment horizontal="center" vertical="center" wrapText="1"/>
    </xf>
    <xf numFmtId="188" fontId="20" fillId="8" borderId="1" xfId="2" applyNumberFormat="1" applyFont="1" applyFill="1" applyBorder="1" applyAlignment="1">
      <alignment horizontal="center" vertical="center" wrapText="1"/>
    </xf>
    <xf numFmtId="191" fontId="20" fillId="8" borderId="1" xfId="2" applyNumberFormat="1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/>
    </xf>
    <xf numFmtId="187" fontId="23" fillId="8" borderId="1" xfId="0" applyNumberFormat="1" applyFont="1" applyFill="1" applyBorder="1" applyAlignment="1">
      <alignment horizontal="center" vertical="center"/>
    </xf>
    <xf numFmtId="182" fontId="23" fillId="8" borderId="1" xfId="0" applyNumberFormat="1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180" fontId="23" fillId="8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187" fontId="23" fillId="8" borderId="1" xfId="0" applyNumberFormat="1" applyFont="1" applyFill="1" applyBorder="1" applyAlignment="1" applyProtection="1">
      <alignment horizontal="center" vertical="center"/>
    </xf>
    <xf numFmtId="0" fontId="37" fillId="0" borderId="0" xfId="0" applyFont="1"/>
    <xf numFmtId="176" fontId="23" fillId="0" borderId="1" xfId="0" applyNumberFormat="1" applyFont="1" applyFill="1" applyBorder="1" applyAlignment="1">
      <alignment horizontal="center" vertical="center" wrapText="1"/>
    </xf>
    <xf numFmtId="10" fontId="19" fillId="0" borderId="1" xfId="0" applyNumberFormat="1" applyFont="1" applyFill="1" applyBorder="1" applyAlignment="1">
      <alignment horizontal="center" vertical="center"/>
    </xf>
    <xf numFmtId="1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186" fontId="20" fillId="3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186" fontId="20" fillId="0" borderId="1" xfId="0" applyNumberFormat="1" applyFont="1" applyBorder="1" applyAlignment="1">
      <alignment horizontal="center" vertical="center"/>
    </xf>
    <xf numFmtId="184" fontId="20" fillId="9" borderId="1" xfId="0" applyNumberFormat="1" applyFont="1" applyFill="1" applyBorder="1" applyAlignment="1">
      <alignment horizontal="center" vertical="center"/>
    </xf>
    <xf numFmtId="0" fontId="18" fillId="9" borderId="0" xfId="0" applyFont="1" applyFill="1" applyAlignment="1">
      <alignment horizontal="center" vertical="center"/>
    </xf>
    <xf numFmtId="0" fontId="38" fillId="0" borderId="7" xfId="0" applyFont="1" applyBorder="1" applyAlignment="1">
      <alignment vertical="center"/>
    </xf>
    <xf numFmtId="0" fontId="38" fillId="8" borderId="8" xfId="0" applyFont="1" applyFill="1" applyBorder="1" applyAlignment="1">
      <alignment horizontal="center" vertical="center"/>
    </xf>
    <xf numFmtId="0" fontId="20" fillId="9" borderId="2" xfId="0" applyFont="1" applyFill="1" applyBorder="1" applyAlignment="1">
      <alignment horizontal="center" vertical="center"/>
    </xf>
    <xf numFmtId="3" fontId="32" fillId="4" borderId="3" xfId="0" applyNumberFormat="1" applyFont="1" applyFill="1" applyBorder="1" applyAlignment="1">
      <alignment horizontal="center" vertical="center"/>
    </xf>
    <xf numFmtId="0" fontId="39" fillId="0" borderId="0" xfId="0" applyFont="1" applyFill="1"/>
    <xf numFmtId="0" fontId="18" fillId="0" borderId="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19" fillId="8" borderId="1" xfId="0" applyFont="1" applyFill="1" applyBorder="1" applyAlignment="1">
      <alignment vertical="top"/>
    </xf>
    <xf numFmtId="0" fontId="19" fillId="0" borderId="4" xfId="0" applyFont="1" applyFill="1" applyBorder="1" applyAlignment="1">
      <alignment vertical="top"/>
    </xf>
    <xf numFmtId="0" fontId="19" fillId="0" borderId="9" xfId="0" applyFont="1" applyFill="1" applyBorder="1" applyAlignment="1">
      <alignment vertical="top"/>
    </xf>
    <xf numFmtId="2" fontId="20" fillId="9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36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194" fontId="36" fillId="9" borderId="1" xfId="0" applyNumberFormat="1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/>
    </xf>
    <xf numFmtId="0" fontId="36" fillId="9" borderId="13" xfId="0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0" fontId="36" fillId="10" borderId="14" xfId="0" applyFont="1" applyFill="1" applyBorder="1" applyAlignment="1">
      <alignment horizontal="center" vertical="center" wrapText="1"/>
    </xf>
    <xf numFmtId="0" fontId="36" fillId="10" borderId="15" xfId="0" applyFont="1" applyFill="1" applyBorder="1" applyAlignment="1">
      <alignment horizontal="center" vertical="center" wrapText="1"/>
    </xf>
    <xf numFmtId="0" fontId="40" fillId="0" borderId="0" xfId="0" applyFont="1"/>
    <xf numFmtId="0" fontId="33" fillId="8" borderId="1" xfId="0" applyFont="1" applyFill="1" applyBorder="1" applyAlignment="1">
      <alignment horizontal="center" vertical="center" wrapText="1"/>
    </xf>
    <xf numFmtId="194" fontId="33" fillId="8" borderId="14" xfId="0" applyNumberFormat="1" applyFont="1" applyFill="1" applyBorder="1" applyAlignment="1">
      <alignment horizontal="center" vertical="center" wrapText="1"/>
    </xf>
    <xf numFmtId="194" fontId="33" fillId="8" borderId="15" xfId="0" applyNumberFormat="1" applyFont="1" applyFill="1" applyBorder="1" applyAlignment="1">
      <alignment horizontal="center" vertical="center" wrapText="1"/>
    </xf>
    <xf numFmtId="9" fontId="33" fillId="8" borderId="1" xfId="0" applyNumberFormat="1" applyFont="1" applyFill="1" applyBorder="1" applyAlignment="1">
      <alignment horizontal="center" vertical="center" wrapText="1"/>
    </xf>
    <xf numFmtId="9" fontId="33" fillId="8" borderId="11" xfId="0" applyNumberFormat="1" applyFont="1" applyFill="1" applyBorder="1" applyAlignment="1">
      <alignment horizontal="center" vertical="center" wrapText="1"/>
    </xf>
    <xf numFmtId="0" fontId="33" fillId="8" borderId="11" xfId="0" applyFont="1" applyFill="1" applyBorder="1" applyAlignment="1">
      <alignment horizontal="center" vertical="center" wrapText="1"/>
    </xf>
    <xf numFmtId="187" fontId="33" fillId="8" borderId="1" xfId="0" applyNumberFormat="1" applyFont="1" applyFill="1" applyBorder="1" applyAlignment="1">
      <alignment horizontal="center" vertical="center"/>
    </xf>
    <xf numFmtId="0" fontId="36" fillId="10" borderId="14" xfId="0" applyFont="1" applyFill="1" applyBorder="1" applyAlignment="1">
      <alignment horizontal="center" vertical="center" wrapText="1"/>
    </xf>
    <xf numFmtId="0" fontId="4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10" fontId="23" fillId="8" borderId="1" xfId="1" applyNumberFormat="1" applyFont="1" applyFill="1" applyBorder="1" applyAlignment="1">
      <alignment horizontal="center" vertical="center" wrapText="1"/>
    </xf>
    <xf numFmtId="179" fontId="23" fillId="8" borderId="1" xfId="0" applyNumberFormat="1" applyFont="1" applyFill="1" applyBorder="1" applyAlignment="1">
      <alignment horizontal="center" vertical="center" wrapText="1"/>
    </xf>
    <xf numFmtId="176" fontId="33" fillId="8" borderId="1" xfId="0" applyNumberFormat="1" applyFont="1" applyFill="1" applyBorder="1" applyAlignment="1">
      <alignment horizontal="center" vertical="center" wrapText="1"/>
    </xf>
    <xf numFmtId="2" fontId="33" fillId="8" borderId="1" xfId="0" applyNumberFormat="1" applyFont="1" applyFill="1" applyBorder="1" applyAlignment="1">
      <alignment horizontal="center" vertical="center" wrapText="1"/>
    </xf>
    <xf numFmtId="2" fontId="23" fillId="8" borderId="1" xfId="0" applyNumberFormat="1" applyFont="1" applyFill="1" applyBorder="1" applyAlignment="1">
      <alignment horizontal="center" vertical="center"/>
    </xf>
    <xf numFmtId="2" fontId="23" fillId="8" borderId="1" xfId="0" applyNumberFormat="1" applyFont="1" applyFill="1" applyBorder="1" applyAlignment="1">
      <alignment horizontal="center" vertical="center" wrapText="1"/>
    </xf>
    <xf numFmtId="177" fontId="33" fillId="8" borderId="1" xfId="2" applyNumberFormat="1" applyFont="1" applyFill="1" applyBorder="1" applyAlignment="1">
      <alignment horizontal="center" vertical="center" wrapText="1"/>
    </xf>
    <xf numFmtId="177" fontId="33" fillId="8" borderId="11" xfId="2" applyNumberFormat="1" applyFont="1" applyFill="1" applyBorder="1" applyAlignment="1">
      <alignment horizontal="center" vertical="center" wrapText="1"/>
    </xf>
    <xf numFmtId="0" fontId="20" fillId="11" borderId="8" xfId="0" applyFont="1" applyFill="1" applyBorder="1" applyAlignment="1">
      <alignment horizontal="center" vertical="center" wrapText="1"/>
    </xf>
    <xf numFmtId="196" fontId="25" fillId="8" borderId="1" xfId="0" applyNumberFormat="1" applyFont="1" applyFill="1" applyBorder="1" applyAlignment="1">
      <alignment horizontal="center" vertical="center"/>
    </xf>
    <xf numFmtId="176" fontId="33" fillId="8" borderId="11" xfId="0" applyNumberFormat="1" applyFont="1" applyFill="1" applyBorder="1" applyAlignment="1">
      <alignment horizontal="center" vertical="center" wrapText="1"/>
    </xf>
    <xf numFmtId="177" fontId="33" fillId="8" borderId="1" xfId="0" applyNumberFormat="1" applyFont="1" applyFill="1" applyBorder="1" applyAlignment="1">
      <alignment horizontal="center" vertical="center" wrapText="1"/>
    </xf>
    <xf numFmtId="177" fontId="33" fillId="8" borderId="11" xfId="0" applyNumberFormat="1" applyFont="1" applyFill="1" applyBorder="1" applyAlignment="1">
      <alignment horizontal="center" vertical="center" wrapText="1"/>
    </xf>
    <xf numFmtId="197" fontId="33" fillId="8" borderId="1" xfId="0" applyNumberFormat="1" applyFont="1" applyFill="1" applyBorder="1" applyAlignment="1">
      <alignment horizontal="center" vertical="center" wrapText="1"/>
    </xf>
    <xf numFmtId="197" fontId="33" fillId="8" borderId="11" xfId="0" applyNumberFormat="1" applyFont="1" applyFill="1" applyBorder="1" applyAlignment="1">
      <alignment horizontal="center" vertical="center" wrapText="1"/>
    </xf>
    <xf numFmtId="0" fontId="45" fillId="8" borderId="13" xfId="0" applyFont="1" applyFill="1" applyBorder="1" applyAlignment="1">
      <alignment horizontal="center" vertical="center" wrapText="1"/>
    </xf>
    <xf numFmtId="0" fontId="45" fillId="8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0" fillId="9" borderId="8" xfId="0" applyFont="1" applyFill="1" applyBorder="1" applyAlignment="1">
      <alignment horizontal="center" vertical="center" wrapText="1"/>
    </xf>
    <xf numFmtId="198" fontId="20" fillId="8" borderId="1" xfId="0" applyNumberFormat="1" applyFont="1" applyFill="1" applyBorder="1" applyAlignment="1">
      <alignment horizontal="center" vertical="center"/>
    </xf>
    <xf numFmtId="0" fontId="27" fillId="0" borderId="5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7" fillId="0" borderId="5" xfId="0" applyFont="1" applyFill="1" applyBorder="1" applyAlignment="1">
      <alignment vertical="center"/>
    </xf>
    <xf numFmtId="0" fontId="23" fillId="0" borderId="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/>
    </xf>
    <xf numFmtId="0" fontId="19" fillId="0" borderId="5" xfId="0" applyFont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2" fontId="33" fillId="8" borderId="11" xfId="0" applyNumberFormat="1" applyFont="1" applyFill="1" applyBorder="1" applyAlignment="1">
      <alignment horizontal="center" vertical="center" wrapText="1"/>
    </xf>
    <xf numFmtId="0" fontId="33" fillId="8" borderId="13" xfId="0" quotePrefix="1" applyFont="1" applyFill="1" applyBorder="1" applyAlignment="1">
      <alignment horizontal="center" vertical="center" wrapText="1"/>
    </xf>
    <xf numFmtId="0" fontId="27" fillId="0" borderId="5" xfId="0" applyFont="1" applyBorder="1" applyAlignment="1"/>
    <xf numFmtId="0" fontId="30" fillId="0" borderId="5" xfId="0" applyFont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195" fontId="4" fillId="0" borderId="0" xfId="0" applyNumberFormat="1" applyFont="1" applyBorder="1" applyAlignment="1">
      <alignment horizontal="center" vertical="center"/>
    </xf>
    <xf numFmtId="195" fontId="4" fillId="0" borderId="5" xfId="0" applyNumberFormat="1" applyFont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3" fillId="3" borderId="1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/>
    </xf>
    <xf numFmtId="0" fontId="46" fillId="0" borderId="0" xfId="0" applyFont="1" applyAlignment="1">
      <alignment horizontal="distributed" vertical="center" shrinkToFit="1"/>
    </xf>
    <xf numFmtId="195" fontId="46" fillId="0" borderId="0" xfId="0" applyNumberFormat="1" applyFont="1" applyBorder="1" applyAlignment="1">
      <alignment vertical="center"/>
    </xf>
    <xf numFmtId="0" fontId="46" fillId="0" borderId="0" xfId="0" applyFont="1" applyBorder="1" applyAlignment="1">
      <alignment horizontal="distributed" vertical="center" shrinkToFit="1"/>
    </xf>
    <xf numFmtId="0" fontId="48" fillId="0" borderId="0" xfId="0" applyFont="1" applyAlignment="1">
      <alignment vertical="center"/>
    </xf>
    <xf numFmtId="0" fontId="47" fillId="0" borderId="0" xfId="0" applyFont="1" applyBorder="1" applyAlignment="1">
      <alignment vertical="center"/>
    </xf>
    <xf numFmtId="0" fontId="36" fillId="9" borderId="28" xfId="0" applyFont="1" applyFill="1" applyBorder="1" applyAlignment="1">
      <alignment horizontal="center" vertical="center" wrapText="1"/>
    </xf>
    <xf numFmtId="0" fontId="36" fillId="10" borderId="1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185" fontId="20" fillId="7" borderId="1" xfId="0" applyNumberFormat="1" applyFont="1" applyFill="1" applyBorder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33" fillId="8" borderId="21" xfId="0" quotePrefix="1" applyFont="1" applyFill="1" applyBorder="1" applyAlignment="1">
      <alignment horizontal="center" vertical="center" wrapText="1"/>
    </xf>
    <xf numFmtId="0" fontId="43" fillId="0" borderId="0" xfId="0" applyFont="1" applyBorder="1" applyAlignment="1">
      <alignment vertical="center" wrapText="1"/>
    </xf>
    <xf numFmtId="0" fontId="44" fillId="8" borderId="33" xfId="0" quotePrefix="1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vertical="center" wrapText="1"/>
    </xf>
    <xf numFmtId="0" fontId="36" fillId="10" borderId="14" xfId="0" applyFont="1" applyFill="1" applyBorder="1" applyAlignment="1">
      <alignment horizontal="center" vertical="center" wrapText="1"/>
    </xf>
    <xf numFmtId="182" fontId="25" fillId="8" borderId="1" xfId="2" applyNumberFormat="1" applyFont="1" applyFill="1" applyBorder="1" applyAlignment="1" applyProtection="1">
      <alignment horizontal="center" vertical="center" wrapText="1"/>
    </xf>
    <xf numFmtId="177" fontId="25" fillId="8" borderId="1" xfId="2" applyNumberFormat="1" applyFont="1" applyFill="1" applyBorder="1" applyAlignment="1" applyProtection="1">
      <alignment horizontal="center" vertical="center" shrinkToFit="1"/>
    </xf>
    <xf numFmtId="192" fontId="25" fillId="8" borderId="1" xfId="2" applyNumberFormat="1" applyFont="1" applyFill="1" applyBorder="1" applyAlignment="1" applyProtection="1">
      <alignment horizontal="center" vertical="center" shrinkToFit="1"/>
    </xf>
    <xf numFmtId="0" fontId="25" fillId="8" borderId="1" xfId="2" applyNumberFormat="1" applyFont="1" applyFill="1" applyBorder="1" applyAlignment="1" applyProtection="1">
      <alignment horizontal="center" vertical="center" shrinkToFit="1"/>
    </xf>
    <xf numFmtId="181" fontId="25" fillId="8" borderId="1" xfId="2" applyNumberFormat="1" applyFont="1" applyFill="1" applyBorder="1" applyAlignment="1" applyProtection="1">
      <alignment horizontal="center" vertical="center" wrapText="1"/>
    </xf>
    <xf numFmtId="181" fontId="25" fillId="8" borderId="2" xfId="2" applyNumberFormat="1" applyFont="1" applyFill="1" applyBorder="1" applyAlignment="1" applyProtection="1">
      <alignment horizontal="center" vertical="center" wrapText="1"/>
    </xf>
    <xf numFmtId="0" fontId="50" fillId="0" borderId="0" xfId="0" applyFont="1" applyAlignment="1">
      <alignment horizontal="justify" vertical="center"/>
    </xf>
    <xf numFmtId="0" fontId="26" fillId="0" borderId="1" xfId="0" applyFont="1" applyFill="1" applyBorder="1" applyAlignment="1">
      <alignment horizontal="center" vertical="center" wrapText="1"/>
    </xf>
    <xf numFmtId="2" fontId="33" fillId="8" borderId="24" xfId="0" applyNumberFormat="1" applyFont="1" applyFill="1" applyBorder="1" applyAlignment="1" applyProtection="1">
      <alignment horizontal="center" vertical="center" wrapText="1"/>
      <protection locked="0"/>
    </xf>
    <xf numFmtId="2" fontId="33" fillId="8" borderId="26" xfId="0" applyNumberFormat="1" applyFont="1" applyFill="1" applyBorder="1" applyAlignment="1" applyProtection="1">
      <alignment horizontal="center" vertical="center" wrapText="1"/>
      <protection locked="0"/>
    </xf>
    <xf numFmtId="0" fontId="36" fillId="9" borderId="24" xfId="0" applyFont="1" applyFill="1" applyBorder="1" applyAlignment="1" applyProtection="1">
      <alignment horizontal="center" vertical="center" wrapText="1"/>
    </xf>
    <xf numFmtId="0" fontId="19" fillId="8" borderId="1" xfId="0" applyFont="1" applyFill="1" applyBorder="1" applyAlignment="1">
      <alignment vertical="center" wrapText="1"/>
    </xf>
    <xf numFmtId="1" fontId="25" fillId="8" borderId="1" xfId="0" applyNumberFormat="1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199" fontId="33" fillId="8" borderId="1" xfId="0" applyNumberFormat="1" applyFont="1" applyFill="1" applyBorder="1" applyAlignment="1">
      <alignment horizontal="center" vertical="center" wrapText="1"/>
    </xf>
    <xf numFmtId="0" fontId="17" fillId="0" borderId="57" xfId="0" applyFont="1" applyFill="1" applyBorder="1" applyAlignment="1">
      <alignment horizontal="center" vertical="center" wrapText="1"/>
    </xf>
    <xf numFmtId="0" fontId="17" fillId="0" borderId="58" xfId="0" applyFont="1" applyFill="1" applyBorder="1" applyAlignment="1">
      <alignment horizontal="center" vertical="center" wrapText="1"/>
    </xf>
    <xf numFmtId="0" fontId="17" fillId="0" borderId="59" xfId="0" applyFont="1" applyFill="1" applyBorder="1" applyAlignment="1">
      <alignment horizontal="center" vertical="center" wrapText="1"/>
    </xf>
    <xf numFmtId="0" fontId="36" fillId="9" borderId="12" xfId="0" applyFont="1" applyFill="1" applyBorder="1" applyAlignment="1">
      <alignment horizontal="center" vertical="center" wrapText="1"/>
    </xf>
    <xf numFmtId="0" fontId="36" fillId="9" borderId="14" xfId="0" applyFont="1" applyFill="1" applyBorder="1" applyAlignment="1">
      <alignment horizontal="center" vertical="center" wrapText="1"/>
    </xf>
    <xf numFmtId="0" fontId="36" fillId="9" borderId="13" xfId="0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0" fontId="17" fillId="0" borderId="57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 wrapText="1"/>
    </xf>
    <xf numFmtId="194" fontId="33" fillId="0" borderId="0" xfId="0" applyNumberFormat="1" applyFont="1" applyFill="1" applyBorder="1" applyAlignment="1">
      <alignment horizontal="center" vertical="center" wrapText="1"/>
    </xf>
    <xf numFmtId="200" fontId="33" fillId="8" borderId="1" xfId="0" applyNumberFormat="1" applyFont="1" applyFill="1" applyBorder="1" applyAlignment="1">
      <alignment horizontal="center" vertical="center" wrapText="1"/>
    </xf>
    <xf numFmtId="200" fontId="33" fillId="8" borderId="11" xfId="0" applyNumberFormat="1" applyFont="1" applyFill="1" applyBorder="1" applyAlignment="1">
      <alignment horizontal="center" vertical="center" wrapText="1"/>
    </xf>
    <xf numFmtId="186" fontId="33" fillId="8" borderId="1" xfId="0" applyNumberFormat="1" applyFont="1" applyFill="1" applyBorder="1" applyAlignment="1">
      <alignment horizontal="center" vertical="center" wrapText="1"/>
    </xf>
    <xf numFmtId="186" fontId="33" fillId="8" borderId="11" xfId="0" applyNumberFormat="1" applyFont="1" applyFill="1" applyBorder="1" applyAlignment="1">
      <alignment horizontal="center" vertical="center" wrapText="1"/>
    </xf>
    <xf numFmtId="182" fontId="20" fillId="8" borderId="1" xfId="2" applyNumberFormat="1" applyFont="1" applyFill="1" applyBorder="1" applyAlignment="1">
      <alignment horizontal="center" vertical="center" wrapText="1"/>
    </xf>
    <xf numFmtId="181" fontId="20" fillId="0" borderId="1" xfId="0" applyNumberFormat="1" applyFont="1" applyFill="1" applyBorder="1" applyAlignment="1">
      <alignment horizontal="center" vertical="center" wrapText="1"/>
    </xf>
    <xf numFmtId="178" fontId="20" fillId="0" borderId="1" xfId="2" applyNumberFormat="1" applyFont="1" applyFill="1" applyBorder="1" applyAlignment="1">
      <alignment horizontal="center" vertical="center"/>
    </xf>
    <xf numFmtId="178" fontId="23" fillId="0" borderId="1" xfId="2" applyNumberFormat="1" applyFont="1" applyFill="1" applyBorder="1" applyAlignment="1">
      <alignment horizontal="center" vertical="center"/>
    </xf>
    <xf numFmtId="185" fontId="33" fillId="8" borderId="1" xfId="0" applyNumberFormat="1" applyFont="1" applyFill="1" applyBorder="1" applyAlignment="1">
      <alignment horizontal="center" vertical="center" wrapText="1"/>
    </xf>
    <xf numFmtId="185" fontId="33" fillId="8" borderId="11" xfId="0" applyNumberFormat="1" applyFont="1" applyFill="1" applyBorder="1" applyAlignment="1">
      <alignment horizontal="center" vertical="center" wrapText="1"/>
    </xf>
    <xf numFmtId="0" fontId="36" fillId="0" borderId="33" xfId="0" applyFont="1" applyFill="1" applyBorder="1" applyAlignment="1">
      <alignment horizontal="center" vertical="center" wrapText="1"/>
    </xf>
    <xf numFmtId="194" fontId="33" fillId="0" borderId="33" xfId="0" applyNumberFormat="1" applyFont="1" applyFill="1" applyBorder="1" applyAlignment="1">
      <alignment horizontal="center" vertical="center" wrapText="1"/>
    </xf>
    <xf numFmtId="2" fontId="35" fillId="0" borderId="1" xfId="0" applyNumberFormat="1" applyFont="1" applyBorder="1" applyAlignment="1">
      <alignment horizontal="center" vertical="center"/>
    </xf>
    <xf numFmtId="2" fontId="35" fillId="3" borderId="1" xfId="0" applyNumberFormat="1" applyFont="1" applyFill="1" applyBorder="1" applyAlignment="1">
      <alignment horizontal="center" vertical="center"/>
    </xf>
    <xf numFmtId="2" fontId="35" fillId="0" borderId="1" xfId="0" applyNumberFormat="1" applyFont="1" applyFill="1" applyBorder="1" applyAlignment="1">
      <alignment horizontal="center" vertical="center"/>
    </xf>
    <xf numFmtId="2" fontId="33" fillId="8" borderId="62" xfId="0" applyNumberFormat="1" applyFont="1" applyFill="1" applyBorder="1" applyAlignment="1" applyProtection="1">
      <alignment horizontal="center" vertical="center" wrapText="1"/>
      <protection locked="0"/>
    </xf>
    <xf numFmtId="2" fontId="33" fillId="8" borderId="61" xfId="0" applyNumberFormat="1" applyFont="1" applyFill="1" applyBorder="1" applyAlignment="1" applyProtection="1">
      <alignment horizontal="center" vertical="center" wrapText="1"/>
      <protection locked="0"/>
    </xf>
    <xf numFmtId="0" fontId="36" fillId="9" borderId="53" xfId="0" applyFont="1" applyFill="1" applyBorder="1" applyAlignment="1">
      <alignment horizontal="center" vertical="center" wrapText="1"/>
    </xf>
    <xf numFmtId="0" fontId="36" fillId="9" borderId="55" xfId="0" applyFont="1" applyFill="1" applyBorder="1" applyAlignment="1">
      <alignment horizontal="center" vertical="center" wrapText="1"/>
    </xf>
    <xf numFmtId="0" fontId="36" fillId="9" borderId="54" xfId="0" applyFont="1" applyFill="1" applyBorder="1" applyAlignment="1">
      <alignment horizontal="center"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36" fillId="9" borderId="7" xfId="0" applyFont="1" applyFill="1" applyBorder="1" applyAlignment="1">
      <alignment horizontal="center" vertical="center" wrapText="1"/>
    </xf>
    <xf numFmtId="0" fontId="36" fillId="9" borderId="24" xfId="0" applyFont="1" applyFill="1" applyBorder="1" applyAlignment="1">
      <alignment horizontal="center" vertical="center" wrapText="1"/>
    </xf>
    <xf numFmtId="0" fontId="49" fillId="0" borderId="33" xfId="0" applyFont="1" applyBorder="1" applyAlignment="1">
      <alignment vertical="center" wrapText="1"/>
    </xf>
    <xf numFmtId="0" fontId="49" fillId="0" borderId="0" xfId="0" applyFont="1" applyBorder="1" applyAlignment="1">
      <alignment vertical="center" wrapText="1"/>
    </xf>
    <xf numFmtId="0" fontId="49" fillId="0" borderId="34" xfId="0" applyFont="1" applyBorder="1" applyAlignment="1">
      <alignment vertical="center" wrapText="1"/>
    </xf>
    <xf numFmtId="0" fontId="49" fillId="0" borderId="56" xfId="0" applyFont="1" applyBorder="1" applyAlignment="1">
      <alignment vertical="center" wrapText="1"/>
    </xf>
    <xf numFmtId="0" fontId="49" fillId="0" borderId="19" xfId="0" applyFont="1" applyBorder="1" applyAlignment="1">
      <alignment vertical="center" wrapText="1"/>
    </xf>
    <xf numFmtId="0" fontId="49" fillId="0" borderId="20" xfId="0" applyFont="1" applyBorder="1" applyAlignment="1">
      <alignment vertical="center" wrapText="1"/>
    </xf>
    <xf numFmtId="0" fontId="36" fillId="9" borderId="63" xfId="0" applyFont="1" applyFill="1" applyBorder="1" applyAlignment="1">
      <alignment horizontal="center" vertical="center" wrapText="1"/>
    </xf>
    <xf numFmtId="0" fontId="36" fillId="9" borderId="17" xfId="0" applyFont="1" applyFill="1" applyBorder="1" applyAlignment="1">
      <alignment horizontal="center" vertical="center" wrapText="1"/>
    </xf>
    <xf numFmtId="0" fontId="36" fillId="9" borderId="64" xfId="0" applyFont="1" applyFill="1" applyBorder="1" applyAlignment="1">
      <alignment horizontal="center" vertical="center" wrapText="1"/>
    </xf>
    <xf numFmtId="0" fontId="36" fillId="9" borderId="22" xfId="0" applyFont="1" applyFill="1" applyBorder="1" applyAlignment="1">
      <alignment horizontal="center" vertical="center" wrapText="1"/>
    </xf>
    <xf numFmtId="0" fontId="36" fillId="9" borderId="5" xfId="0" applyFont="1" applyFill="1" applyBorder="1" applyAlignment="1">
      <alignment horizontal="center" vertical="center" wrapText="1"/>
    </xf>
    <xf numFmtId="0" fontId="36" fillId="9" borderId="48" xfId="0" applyFont="1" applyFill="1" applyBorder="1" applyAlignment="1">
      <alignment horizontal="center" vertical="center" wrapText="1"/>
    </xf>
    <xf numFmtId="0" fontId="36" fillId="9" borderId="6" xfId="0" applyFont="1" applyFill="1" applyBorder="1" applyAlignment="1">
      <alignment horizontal="center" vertical="center" wrapText="1"/>
    </xf>
    <xf numFmtId="0" fontId="36" fillId="9" borderId="3" xfId="0" applyFont="1" applyFill="1" applyBorder="1" applyAlignment="1">
      <alignment horizontal="center" vertical="center" wrapText="1"/>
    </xf>
    <xf numFmtId="1" fontId="33" fillId="8" borderId="6" xfId="0" applyNumberFormat="1" applyFont="1" applyFill="1" applyBorder="1" applyAlignment="1">
      <alignment horizontal="center" vertical="center" wrapText="1"/>
    </xf>
    <xf numFmtId="1" fontId="33" fillId="8" borderId="3" xfId="0" applyNumberFormat="1" applyFont="1" applyFill="1" applyBorder="1" applyAlignment="1">
      <alignment horizontal="center" vertical="center" wrapText="1"/>
    </xf>
    <xf numFmtId="193" fontId="12" fillId="0" borderId="35" xfId="0" applyNumberFormat="1" applyFont="1" applyBorder="1" applyAlignment="1">
      <alignment horizontal="left" vertical="center" wrapText="1"/>
    </xf>
    <xf numFmtId="193" fontId="12" fillId="0" borderId="36" xfId="0" applyNumberFormat="1" applyFont="1" applyBorder="1" applyAlignment="1">
      <alignment horizontal="left" vertical="center" wrapText="1"/>
    </xf>
    <xf numFmtId="193" fontId="12" fillId="0" borderId="37" xfId="0" applyNumberFormat="1" applyFont="1" applyBorder="1" applyAlignment="1">
      <alignment horizontal="left" vertical="center" wrapText="1"/>
    </xf>
    <xf numFmtId="0" fontId="17" fillId="0" borderId="57" xfId="0" applyFont="1" applyFill="1" applyBorder="1" applyAlignment="1">
      <alignment horizontal="center" vertical="center" wrapText="1"/>
    </xf>
    <xf numFmtId="0" fontId="17" fillId="0" borderId="58" xfId="0" applyFont="1" applyFill="1" applyBorder="1" applyAlignment="1">
      <alignment horizontal="center" vertical="center" wrapText="1"/>
    </xf>
    <xf numFmtId="0" fontId="17" fillId="0" borderId="59" xfId="0" applyFont="1" applyFill="1" applyBorder="1" applyAlignment="1">
      <alignment horizontal="center" vertical="center" wrapText="1"/>
    </xf>
    <xf numFmtId="0" fontId="41" fillId="0" borderId="57" xfId="0" applyFont="1" applyFill="1" applyBorder="1" applyAlignment="1">
      <alignment horizontal="center" vertical="center" wrapText="1"/>
    </xf>
    <xf numFmtId="0" fontId="41" fillId="0" borderId="58" xfId="0" applyFont="1" applyFill="1" applyBorder="1" applyAlignment="1">
      <alignment horizontal="center" vertical="center" wrapText="1"/>
    </xf>
    <xf numFmtId="0" fontId="41" fillId="0" borderId="59" xfId="0" applyFont="1" applyFill="1" applyBorder="1" applyAlignment="1">
      <alignment horizontal="center" vertical="center" wrapText="1"/>
    </xf>
    <xf numFmtId="0" fontId="36" fillId="9" borderId="29" xfId="0" applyFont="1" applyFill="1" applyBorder="1" applyAlignment="1">
      <alignment horizontal="center" vertical="center" wrapText="1"/>
    </xf>
    <xf numFmtId="0" fontId="36" fillId="9" borderId="65" xfId="0" applyFont="1" applyFill="1" applyBorder="1" applyAlignment="1">
      <alignment horizontal="center" vertical="center" wrapText="1"/>
    </xf>
    <xf numFmtId="187" fontId="17" fillId="0" borderId="57" xfId="0" applyNumberFormat="1" applyFont="1" applyFill="1" applyBorder="1" applyAlignment="1">
      <alignment horizontal="center" vertical="center"/>
    </xf>
    <xf numFmtId="187" fontId="17" fillId="0" borderId="58" xfId="0" applyNumberFormat="1" applyFont="1" applyFill="1" applyBorder="1" applyAlignment="1">
      <alignment horizontal="center" vertical="center"/>
    </xf>
    <xf numFmtId="187" fontId="17" fillId="0" borderId="59" xfId="0" applyNumberFormat="1" applyFont="1" applyFill="1" applyBorder="1" applyAlignment="1">
      <alignment horizontal="center" vertical="center"/>
    </xf>
    <xf numFmtId="2" fontId="17" fillId="0" borderId="57" xfId="0" applyNumberFormat="1" applyFont="1" applyFill="1" applyBorder="1" applyAlignment="1">
      <alignment horizontal="center" vertical="center" wrapText="1"/>
    </xf>
    <xf numFmtId="2" fontId="17" fillId="0" borderId="58" xfId="0" applyNumberFormat="1" applyFont="1" applyFill="1" applyBorder="1" applyAlignment="1">
      <alignment horizontal="center" vertical="center" wrapText="1"/>
    </xf>
    <xf numFmtId="2" fontId="17" fillId="0" borderId="59" xfId="0" applyNumberFormat="1" applyFont="1" applyFill="1" applyBorder="1" applyAlignment="1">
      <alignment horizontal="center" vertical="center" wrapText="1"/>
    </xf>
    <xf numFmtId="0" fontId="36" fillId="9" borderId="27" xfId="0" applyFont="1" applyFill="1" applyBorder="1" applyAlignment="1">
      <alignment horizontal="center" vertical="center" wrapText="1"/>
    </xf>
    <xf numFmtId="0" fontId="36" fillId="9" borderId="12" xfId="0" applyFont="1" applyFill="1" applyBorder="1" applyAlignment="1">
      <alignment horizontal="center" vertical="center" wrapText="1"/>
    </xf>
    <xf numFmtId="0" fontId="36" fillId="9" borderId="28" xfId="0" applyFont="1" applyFill="1" applyBorder="1" applyAlignment="1">
      <alignment horizontal="center" vertical="center" wrapText="1"/>
    </xf>
    <xf numFmtId="0" fontId="36" fillId="9" borderId="14" xfId="0" applyFont="1" applyFill="1" applyBorder="1" applyAlignment="1">
      <alignment horizontal="center" vertical="center" wrapText="1"/>
    </xf>
    <xf numFmtId="0" fontId="36" fillId="10" borderId="30" xfId="0" applyFont="1" applyFill="1" applyBorder="1" applyAlignment="1">
      <alignment horizontal="center" vertical="center" wrapText="1"/>
    </xf>
    <xf numFmtId="0" fontId="36" fillId="10" borderId="31" xfId="0" applyFont="1" applyFill="1" applyBorder="1" applyAlignment="1">
      <alignment horizontal="center" vertical="center" wrapText="1"/>
    </xf>
    <xf numFmtId="0" fontId="36" fillId="10" borderId="32" xfId="0" applyFont="1" applyFill="1" applyBorder="1" applyAlignment="1">
      <alignment horizontal="center" vertical="center" wrapText="1"/>
    </xf>
    <xf numFmtId="0" fontId="12" fillId="9" borderId="39" xfId="0" applyFont="1" applyFill="1" applyBorder="1" applyAlignment="1">
      <alignment horizontal="center" vertical="center" wrapText="1"/>
    </xf>
    <xf numFmtId="0" fontId="12" fillId="9" borderId="40" xfId="0" applyFont="1" applyFill="1" applyBorder="1" applyAlignment="1">
      <alignment horizontal="center" vertical="center" wrapText="1"/>
    </xf>
    <xf numFmtId="0" fontId="36" fillId="10" borderId="28" xfId="0" applyFont="1" applyFill="1" applyBorder="1" applyAlignment="1">
      <alignment horizontal="center" vertical="center" wrapText="1"/>
    </xf>
    <xf numFmtId="0" fontId="36" fillId="10" borderId="14" xfId="0" applyFont="1" applyFill="1" applyBorder="1" applyAlignment="1">
      <alignment horizontal="center" vertical="center" wrapText="1"/>
    </xf>
    <xf numFmtId="0" fontId="36" fillId="10" borderId="25" xfId="0" applyFont="1" applyFill="1" applyBorder="1" applyAlignment="1">
      <alignment horizontal="center" vertical="center" wrapText="1"/>
    </xf>
    <xf numFmtId="0" fontId="36" fillId="10" borderId="26" xfId="0" applyFont="1" applyFill="1" applyBorder="1" applyAlignment="1">
      <alignment horizontal="center" vertical="center" wrapText="1"/>
    </xf>
    <xf numFmtId="0" fontId="36" fillId="10" borderId="23" xfId="0" applyFont="1" applyFill="1" applyBorder="1" applyAlignment="1">
      <alignment horizontal="center" vertical="center" wrapText="1"/>
    </xf>
    <xf numFmtId="0" fontId="36" fillId="10" borderId="24" xfId="0" applyFont="1" applyFill="1" applyBorder="1" applyAlignment="1">
      <alignment horizontal="center" vertical="center" wrapText="1"/>
    </xf>
    <xf numFmtId="0" fontId="36" fillId="9" borderId="60" xfId="0" applyFont="1" applyFill="1" applyBorder="1" applyAlignment="1">
      <alignment horizontal="center" vertical="center" wrapText="1"/>
    </xf>
    <xf numFmtId="0" fontId="36" fillId="9" borderId="61" xfId="0" applyFont="1" applyFill="1" applyBorder="1" applyAlignment="1">
      <alignment horizontal="center" vertical="center" wrapText="1"/>
    </xf>
    <xf numFmtId="0" fontId="36" fillId="9" borderId="13" xfId="0" applyFont="1" applyFill="1" applyBorder="1" applyAlignment="1">
      <alignment horizontal="center" vertical="center" wrapText="1"/>
    </xf>
    <xf numFmtId="0" fontId="36" fillId="9" borderId="10" xfId="0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0" fontId="42" fillId="0" borderId="38" xfId="0" applyFont="1" applyBorder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12" fillId="0" borderId="35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2" fillId="0" borderId="37" xfId="0" applyFont="1" applyBorder="1" applyAlignment="1">
      <alignment vertical="center" wrapText="1"/>
    </xf>
    <xf numFmtId="193" fontId="12" fillId="0" borderId="41" xfId="0" applyNumberFormat="1" applyFont="1" applyBorder="1" applyAlignment="1">
      <alignment horizontal="center" vertical="center" wrapText="1"/>
    </xf>
    <xf numFmtId="193" fontId="12" fillId="0" borderId="40" xfId="0" applyNumberFormat="1" applyFont="1" applyBorder="1" applyAlignment="1">
      <alignment horizontal="center" vertical="center" wrapText="1"/>
    </xf>
    <xf numFmtId="0" fontId="12" fillId="0" borderId="33" xfId="0" quotePrefix="1" applyFont="1" applyBorder="1" applyAlignment="1">
      <alignment horizontal="left" vertical="center" wrapText="1"/>
    </xf>
    <xf numFmtId="0" fontId="12" fillId="0" borderId="0" xfId="0" quotePrefix="1" applyFont="1" applyBorder="1" applyAlignment="1">
      <alignment horizontal="left" vertical="center" wrapText="1"/>
    </xf>
    <xf numFmtId="0" fontId="12" fillId="0" borderId="34" xfId="0" quotePrefix="1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shrinkToFit="1"/>
    </xf>
    <xf numFmtId="0" fontId="38" fillId="9" borderId="39" xfId="0" applyFont="1" applyFill="1" applyBorder="1" applyAlignment="1">
      <alignment horizontal="center" vertical="center"/>
    </xf>
    <xf numFmtId="0" fontId="38" fillId="9" borderId="42" xfId="0" applyFont="1" applyFill="1" applyBorder="1" applyAlignment="1">
      <alignment horizontal="center" vertical="center"/>
    </xf>
    <xf numFmtId="0" fontId="38" fillId="9" borderId="40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185" fontId="18" fillId="7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 shrinkToFit="1"/>
    </xf>
    <xf numFmtId="0" fontId="20" fillId="9" borderId="10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left" vertical="center" wrapText="1"/>
    </xf>
    <xf numFmtId="0" fontId="18" fillId="0" borderId="4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195" fontId="4" fillId="0" borderId="0" xfId="0" applyNumberFormat="1" applyFont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2" fontId="20" fillId="0" borderId="1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19" fillId="0" borderId="4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/>
    </xf>
    <xf numFmtId="0" fontId="19" fillId="0" borderId="4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3" fillId="2" borderId="44" xfId="0" applyFont="1" applyFill="1" applyBorder="1" applyAlignment="1">
      <alignment vertical="center" wrapText="1"/>
    </xf>
    <xf numFmtId="0" fontId="23" fillId="2" borderId="45" xfId="0" applyFont="1" applyFill="1" applyBorder="1" applyAlignment="1">
      <alignment vertical="center" wrapText="1"/>
    </xf>
    <xf numFmtId="0" fontId="23" fillId="2" borderId="46" xfId="0" applyFont="1" applyFill="1" applyBorder="1" applyAlignment="1">
      <alignment vertical="center" wrapText="1"/>
    </xf>
    <xf numFmtId="0" fontId="23" fillId="3" borderId="7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/>
    </xf>
    <xf numFmtId="0" fontId="20" fillId="3" borderId="13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4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9" fillId="0" borderId="43" xfId="0" applyFont="1" applyBorder="1" applyAlignment="1"/>
    <xf numFmtId="0" fontId="19" fillId="0" borderId="3" xfId="0" applyFont="1" applyBorder="1" applyAlignment="1"/>
    <xf numFmtId="0" fontId="23" fillId="11" borderId="44" xfId="0" applyFont="1" applyFill="1" applyBorder="1" applyAlignment="1">
      <alignment horizontal="left" vertical="center" wrapText="1"/>
    </xf>
    <xf numFmtId="0" fontId="23" fillId="11" borderId="45" xfId="0" applyFont="1" applyFill="1" applyBorder="1" applyAlignment="1">
      <alignment horizontal="left" vertical="center" wrapText="1"/>
    </xf>
    <xf numFmtId="0" fontId="19" fillId="0" borderId="47" xfId="0" applyNumberFormat="1" applyFont="1" applyFill="1" applyBorder="1" applyAlignment="1">
      <alignment vertical="center" wrapText="1"/>
    </xf>
    <xf numFmtId="0" fontId="19" fillId="0" borderId="9" xfId="0" applyFont="1" applyFill="1" applyBorder="1" applyAlignment="1">
      <alignment vertical="center"/>
    </xf>
    <xf numFmtId="0" fontId="19" fillId="0" borderId="22" xfId="0" applyFont="1" applyFill="1" applyBorder="1" applyAlignment="1">
      <alignment vertical="center"/>
    </xf>
    <xf numFmtId="0" fontId="19" fillId="0" borderId="48" xfId="0" applyFont="1" applyFill="1" applyBorder="1" applyAlignment="1">
      <alignment vertical="center"/>
    </xf>
    <xf numFmtId="0" fontId="19" fillId="0" borderId="47" xfId="0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23" fillId="0" borderId="47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39" fillId="0" borderId="33" xfId="0" applyFont="1" applyBorder="1" applyAlignment="1">
      <alignment horizontal="left" wrapText="1"/>
    </xf>
    <xf numFmtId="0" fontId="39" fillId="0" borderId="0" xfId="0" applyFont="1" applyAlignment="1">
      <alignment horizontal="left" wrapText="1"/>
    </xf>
    <xf numFmtId="0" fontId="19" fillId="0" borderId="6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 wrapText="1"/>
    </xf>
    <xf numFmtId="0" fontId="20" fillId="0" borderId="7" xfId="0" applyFont="1" applyFill="1" applyBorder="1" applyAlignment="1">
      <alignment vertical="center" wrapText="1"/>
    </xf>
    <xf numFmtId="0" fontId="20" fillId="0" borderId="13" xfId="0" applyFont="1" applyFill="1" applyBorder="1" applyAlignment="1">
      <alignment vertical="center" wrapText="1"/>
    </xf>
    <xf numFmtId="0" fontId="20" fillId="0" borderId="47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9" xfId="0" applyFont="1" applyFill="1" applyBorder="1" applyAlignment="1">
      <alignment vertical="center" wrapText="1"/>
    </xf>
    <xf numFmtId="0" fontId="20" fillId="0" borderId="22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0" fillId="0" borderId="48" xfId="0" applyFont="1" applyFill="1" applyBorder="1" applyAlignment="1">
      <alignment vertical="center" wrapText="1"/>
    </xf>
    <xf numFmtId="0" fontId="29" fillId="0" borderId="5" xfId="0" applyFont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 wrapText="1"/>
    </xf>
    <xf numFmtId="0" fontId="23" fillId="2" borderId="49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 wrapText="1"/>
    </xf>
    <xf numFmtId="0" fontId="18" fillId="0" borderId="4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0" fontId="23" fillId="0" borderId="0" xfId="0" applyFont="1" applyBorder="1" applyAlignment="1"/>
    <xf numFmtId="0" fontId="18" fillId="0" borderId="1" xfId="0" applyFont="1" applyFill="1" applyBorder="1" applyAlignment="1">
      <alignment vertical="center" wrapText="1"/>
    </xf>
    <xf numFmtId="0" fontId="23" fillId="3" borderId="3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/>
    </xf>
    <xf numFmtId="0" fontId="26" fillId="0" borderId="1" xfId="0" applyFont="1" applyBorder="1" applyAlignment="1">
      <alignment vertical="center"/>
    </xf>
    <xf numFmtId="0" fontId="25" fillId="7" borderId="2" xfId="0" applyFont="1" applyFill="1" applyBorder="1" applyAlignment="1">
      <alignment horizontal="center" vertical="center"/>
    </xf>
    <xf numFmtId="0" fontId="25" fillId="7" borderId="7" xfId="0" applyFont="1" applyFill="1" applyBorder="1" applyAlignment="1">
      <alignment horizontal="center" vertical="center"/>
    </xf>
    <xf numFmtId="0" fontId="25" fillId="7" borderId="13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vertical="center"/>
    </xf>
    <xf numFmtId="0" fontId="25" fillId="2" borderId="44" xfId="0" applyFont="1" applyFill="1" applyBorder="1" applyAlignment="1">
      <alignment vertical="center" wrapText="1"/>
    </xf>
    <xf numFmtId="0" fontId="25" fillId="2" borderId="45" xfId="0" applyFont="1" applyFill="1" applyBorder="1" applyAlignment="1">
      <alignment vertical="center" wrapText="1"/>
    </xf>
    <xf numFmtId="0" fontId="25" fillId="2" borderId="46" xfId="0" applyFont="1" applyFill="1" applyBorder="1" applyAlignment="1">
      <alignment vertical="center" wrapText="1"/>
    </xf>
    <xf numFmtId="0" fontId="25" fillId="2" borderId="50" xfId="0" applyFont="1" applyFill="1" applyBorder="1" applyAlignment="1">
      <alignment vertical="center" wrapText="1"/>
    </xf>
    <xf numFmtId="0" fontId="25" fillId="2" borderId="49" xfId="0" applyFont="1" applyFill="1" applyBorder="1" applyAlignment="1">
      <alignment vertical="center" wrapText="1"/>
    </xf>
    <xf numFmtId="0" fontId="26" fillId="0" borderId="6" xfId="0" applyFont="1" applyFill="1" applyBorder="1" applyAlignment="1">
      <alignment vertical="top" wrapText="1"/>
    </xf>
    <xf numFmtId="0" fontId="26" fillId="0" borderId="43" xfId="0" applyFont="1" applyFill="1" applyBorder="1" applyAlignment="1">
      <alignment vertical="top" wrapText="1"/>
    </xf>
    <xf numFmtId="0" fontId="26" fillId="0" borderId="3" xfId="0" applyFont="1" applyFill="1" applyBorder="1" applyAlignment="1">
      <alignment vertical="top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43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vertical="center" wrapText="1"/>
    </xf>
    <xf numFmtId="0" fontId="26" fillId="0" borderId="43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vertical="center" wrapText="1"/>
    </xf>
    <xf numFmtId="0" fontId="25" fillId="0" borderId="6" xfId="0" applyFont="1" applyFill="1" applyBorder="1" applyAlignment="1">
      <alignment vertical="center" wrapText="1"/>
    </xf>
    <xf numFmtId="0" fontId="25" fillId="0" borderId="43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26" fillId="0" borderId="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5" fillId="7" borderId="1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vertical="center"/>
    </xf>
    <xf numFmtId="0" fontId="25" fillId="0" borderId="47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51" xfId="0" applyFont="1" applyFill="1" applyBorder="1" applyAlignment="1">
      <alignment horizontal="center" vertical="center" wrapText="1"/>
    </xf>
    <xf numFmtId="0" fontId="25" fillId="0" borderId="52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48" xfId="0" applyFont="1" applyFill="1" applyBorder="1" applyAlignment="1">
      <alignment horizontal="center" vertical="center" wrapText="1"/>
    </xf>
    <xf numFmtId="0" fontId="26" fillId="0" borderId="47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6" fillId="0" borderId="51" xfId="0" applyFont="1" applyFill="1" applyBorder="1" applyAlignment="1">
      <alignment horizontal="center" vertical="center" wrapText="1"/>
    </xf>
    <xf numFmtId="0" fontId="26" fillId="0" borderId="52" xfId="0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 vertical="center" wrapText="1"/>
    </xf>
    <xf numFmtId="0" fontId="26" fillId="0" borderId="48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19" fillId="0" borderId="0" xfId="0" applyFont="1" applyAlignment="1"/>
    <xf numFmtId="0" fontId="23" fillId="0" borderId="0" xfId="0" applyFont="1" applyBorder="1" applyAlignment="1">
      <alignment vertical="center"/>
    </xf>
    <xf numFmtId="0" fontId="25" fillId="9" borderId="49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36" fillId="0" borderId="47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center" vertical="center"/>
    </xf>
    <xf numFmtId="0" fontId="36" fillId="0" borderId="51" xfId="0" applyFont="1" applyFill="1" applyBorder="1" applyAlignment="1">
      <alignment horizontal="center" vertical="center"/>
    </xf>
    <xf numFmtId="0" fontId="36" fillId="0" borderId="52" xfId="0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36" fillId="0" borderId="48" xfId="0" applyFont="1" applyFill="1" applyBorder="1" applyAlignment="1">
      <alignment horizontal="center" vertical="center"/>
    </xf>
    <xf numFmtId="0" fontId="36" fillId="0" borderId="47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51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center" vertical="center" wrapText="1"/>
    </xf>
    <xf numFmtId="0" fontId="36" fillId="0" borderId="22" xfId="0" applyFont="1" applyFill="1" applyBorder="1" applyAlignment="1">
      <alignment horizontal="center" vertical="center" wrapText="1"/>
    </xf>
    <xf numFmtId="0" fontId="36" fillId="0" borderId="48" xfId="0" applyFont="1" applyFill="1" applyBorder="1" applyAlignment="1">
      <alignment horizontal="center" vertical="center" wrapText="1"/>
    </xf>
    <xf numFmtId="0" fontId="25" fillId="0" borderId="47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51" xfId="0" applyFont="1" applyFill="1" applyBorder="1" applyAlignment="1">
      <alignment horizontal="center" vertical="center"/>
    </xf>
    <xf numFmtId="0" fontId="25" fillId="0" borderId="5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25" fillId="0" borderId="48" xfId="0" applyFont="1" applyFill="1" applyBorder="1" applyAlignment="1">
      <alignment horizontal="center" vertical="center"/>
    </xf>
    <xf numFmtId="0" fontId="22" fillId="0" borderId="5" xfId="0" applyFont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36" fillId="9" borderId="49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9" fillId="9" borderId="49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0" fontId="19" fillId="0" borderId="43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43" xfId="0" applyFont="1" applyBorder="1" applyAlignment="1">
      <alignment horizontal="center" vertical="center" wrapText="1"/>
    </xf>
    <xf numFmtId="0" fontId="27" fillId="0" borderId="5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28575</xdr:colOff>
      <xdr:row>2</xdr:row>
      <xdr:rowOff>66675</xdr:rowOff>
    </xdr:from>
    <xdr:ext cx="333375" cy="133350"/>
    <xdr:sp macro="" textlink="">
      <xdr:nvSpPr>
        <xdr:cNvPr id="2" name="TextBox 1"/>
        <xdr:cNvSpPr txBox="1"/>
      </xdr:nvSpPr>
      <xdr:spPr>
        <a:xfrm>
          <a:off x="11677650" y="561975"/>
          <a:ext cx="333375" cy="133350"/>
        </a:xfrm>
        <a:prstGeom prst="rect">
          <a:avLst/>
        </a:prstGeom>
        <a:solidFill>
          <a:srgbClr val="FFFFCC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ko-KR" altLang="en-US"/>
        </a:p>
      </xdr:txBody>
    </xdr:sp>
    <xdr:clientData/>
  </xdr:oneCellAnchor>
  <xdr:twoCellAnchor>
    <xdr:from>
      <xdr:col>5</xdr:col>
      <xdr:colOff>28575</xdr:colOff>
      <xdr:row>22</xdr:row>
      <xdr:rowOff>66675</xdr:rowOff>
    </xdr:from>
    <xdr:to>
      <xdr:col>7</xdr:col>
      <xdr:colOff>723900</xdr:colOff>
      <xdr:row>25</xdr:row>
      <xdr:rowOff>152400</xdr:rowOff>
    </xdr:to>
    <xdr:grpSp>
      <xdr:nvGrpSpPr>
        <xdr:cNvPr id="7" name="그룹 6"/>
        <xdr:cNvGrpSpPr/>
      </xdr:nvGrpSpPr>
      <xdr:grpSpPr>
        <a:xfrm>
          <a:off x="3372908" y="5527675"/>
          <a:ext cx="2219325" cy="815975"/>
          <a:chOff x="14439900" y="3571875"/>
          <a:chExt cx="2219325" cy="828675"/>
        </a:xfrm>
      </xdr:grpSpPr>
      <xdr:sp macro="" textlink="">
        <xdr:nvSpPr>
          <xdr:cNvPr id="4" name="왼쪽 중괄호 3"/>
          <xdr:cNvSpPr/>
        </xdr:nvSpPr>
        <xdr:spPr bwMode="auto">
          <a:xfrm rot="10800000">
            <a:off x="14439900" y="3571875"/>
            <a:ext cx="457200" cy="828675"/>
          </a:xfrm>
          <a:prstGeom prst="leftBrace">
            <a:avLst/>
          </a:prstGeom>
          <a:ln>
            <a:solidFill>
              <a:srgbClr val="0000FF"/>
            </a:solidFill>
            <a:headEnd type="oval"/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endParaRPr lang="ko-KR" altLang="en-US"/>
          </a:p>
        </xdr:txBody>
      </xdr:sp>
      <xdr:sp macro="" textlink="">
        <xdr:nvSpPr>
          <xdr:cNvPr id="6" name="TextBox 5"/>
          <xdr:cNvSpPr txBox="1"/>
        </xdr:nvSpPr>
        <xdr:spPr bwMode="auto">
          <a:xfrm>
            <a:off x="14916150" y="3810000"/>
            <a:ext cx="1743075" cy="3333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0000FF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ko-KR" altLang="en-US" sz="1000" b="1">
                <a:solidFill>
                  <a:srgbClr val="0000FF"/>
                </a:solidFill>
              </a:rPr>
              <a:t>대표자 등 </a:t>
            </a:r>
            <a:r>
              <a:rPr lang="en-US" altLang="ko-KR" sz="1000" b="1">
                <a:solidFill>
                  <a:srgbClr val="0000FF"/>
                </a:solidFill>
              </a:rPr>
              <a:t>00</a:t>
            </a:r>
            <a:r>
              <a:rPr lang="ko-KR" altLang="en-US" sz="1000" b="1">
                <a:solidFill>
                  <a:srgbClr val="0000FF"/>
                </a:solidFill>
              </a:rPr>
              <a:t>명</a:t>
            </a:r>
          </a:p>
        </xdr:txBody>
      </xdr:sp>
    </xdr:grpSp>
    <xdr:clientData/>
  </xdr:twoCellAnchor>
  <xdr:twoCellAnchor>
    <xdr:from>
      <xdr:col>10</xdr:col>
      <xdr:colOff>733425</xdr:colOff>
      <xdr:row>22</xdr:row>
      <xdr:rowOff>85725</xdr:rowOff>
    </xdr:from>
    <xdr:to>
      <xdr:col>13</xdr:col>
      <xdr:colOff>0</xdr:colOff>
      <xdr:row>25</xdr:row>
      <xdr:rowOff>171450</xdr:rowOff>
    </xdr:to>
    <xdr:grpSp>
      <xdr:nvGrpSpPr>
        <xdr:cNvPr id="14" name="그룹 13"/>
        <xdr:cNvGrpSpPr/>
      </xdr:nvGrpSpPr>
      <xdr:grpSpPr>
        <a:xfrm>
          <a:off x="8004175" y="5546725"/>
          <a:ext cx="1732492" cy="815975"/>
          <a:chOff x="10991850" y="9810750"/>
          <a:chExt cx="1952625" cy="828675"/>
        </a:xfrm>
      </xdr:grpSpPr>
      <xdr:sp macro="" textlink="">
        <xdr:nvSpPr>
          <xdr:cNvPr id="15" name="왼쪽 중괄호 14"/>
          <xdr:cNvSpPr/>
        </xdr:nvSpPr>
        <xdr:spPr bwMode="auto">
          <a:xfrm>
            <a:off x="12515850" y="9810750"/>
            <a:ext cx="428625" cy="828675"/>
          </a:xfrm>
          <a:prstGeom prst="leftBrace">
            <a:avLst/>
          </a:prstGeom>
          <a:ln>
            <a:solidFill>
              <a:srgbClr val="0000FF"/>
            </a:solidFill>
            <a:headEnd type="oval"/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endParaRPr lang="ko-KR" altLang="en-US">
              <a:solidFill>
                <a:srgbClr val="0000FF"/>
              </a:solidFill>
            </a:endParaRPr>
          </a:p>
        </xdr:txBody>
      </xdr:sp>
      <xdr:sp macro="" textlink="">
        <xdr:nvSpPr>
          <xdr:cNvPr id="16" name="TextBox 15"/>
          <xdr:cNvSpPr txBox="1"/>
        </xdr:nvSpPr>
        <xdr:spPr bwMode="auto">
          <a:xfrm>
            <a:off x="10991850" y="10058400"/>
            <a:ext cx="1619250" cy="314060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0000FF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ko-KR" altLang="en-US" sz="1000" b="1" baseline="0">
                <a:solidFill>
                  <a:srgbClr val="0000FF"/>
                </a:solidFill>
              </a:rPr>
              <a:t>중복개월 합 </a:t>
            </a:r>
            <a:r>
              <a:rPr lang="en-US" altLang="ko-KR" sz="1000" b="1" baseline="0">
                <a:solidFill>
                  <a:srgbClr val="0000FF"/>
                </a:solidFill>
              </a:rPr>
              <a:t>/ </a:t>
            </a:r>
            <a:r>
              <a:rPr lang="ko-KR" altLang="en-US" sz="1000" b="1" baseline="0">
                <a:solidFill>
                  <a:srgbClr val="0000FF"/>
                </a:solidFill>
              </a:rPr>
              <a:t>인원 수</a:t>
            </a:r>
            <a:endParaRPr lang="ko-KR" altLang="en-US" sz="1050" b="1">
              <a:solidFill>
                <a:srgbClr val="0000FF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F45"/>
  <sheetViews>
    <sheetView tabSelected="1" zoomScale="90" zoomScaleNormal="90" workbookViewId="0">
      <selection activeCell="U11" sqref="U11"/>
    </sheetView>
  </sheetViews>
  <sheetFormatPr defaultRowHeight="20.100000000000001" customHeight="1"/>
  <cols>
    <col min="1" max="1" width="1.77734375" style="187" customWidth="1"/>
    <col min="2" max="2" width="5" style="187" customWidth="1"/>
    <col min="3" max="4" width="10.109375" style="187" customWidth="1"/>
    <col min="5" max="5" width="12" style="187" customWidth="1"/>
    <col min="6" max="8" width="8.88671875" style="187" customWidth="1"/>
    <col min="9" max="9" width="10.21875" style="187" customWidth="1"/>
    <col min="10" max="11" width="8.88671875" style="187" customWidth="1"/>
    <col min="12" max="12" width="10.21875" style="187" customWidth="1"/>
    <col min="13" max="15" width="9.6640625" style="187" customWidth="1"/>
    <col min="16" max="16" width="12.109375" style="187" customWidth="1"/>
    <col min="17" max="17" width="11.21875" style="187" customWidth="1"/>
    <col min="18" max="19" width="8.88671875" style="187" customWidth="1"/>
    <col min="20" max="20" width="11.109375" style="187" customWidth="1"/>
    <col min="21" max="21" width="11.33203125" style="187" customWidth="1"/>
    <col min="22" max="22" width="9.44140625" style="187" customWidth="1"/>
    <col min="23" max="23" width="10.5546875" style="187" customWidth="1"/>
    <col min="24" max="24" width="10.88671875" style="187" customWidth="1"/>
    <col min="25" max="25" width="9.21875" style="187" customWidth="1"/>
    <col min="26" max="26" width="8.5546875" style="187" customWidth="1"/>
    <col min="27" max="27" width="8.44140625" style="187" customWidth="1"/>
    <col min="28" max="28" width="12" style="187" customWidth="1"/>
    <col min="29" max="32" width="8.88671875" style="187" customWidth="1"/>
  </cols>
  <sheetData>
    <row r="1" spans="1:32" s="189" customFormat="1" ht="20.100000000000001" customHeight="1" thickBot="1">
      <c r="A1" s="188"/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</row>
    <row r="2" spans="1:32" s="192" customFormat="1" ht="20.100000000000001" customHeight="1" thickBot="1">
      <c r="A2" s="191"/>
      <c r="B2" s="363" t="s">
        <v>278</v>
      </c>
      <c r="C2" s="364"/>
      <c r="D2" s="378" t="s">
        <v>367</v>
      </c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80"/>
      <c r="Q2" s="191"/>
      <c r="R2" s="376" t="s">
        <v>249</v>
      </c>
      <c r="S2" s="377"/>
      <c r="T2" s="213"/>
      <c r="U2" s="213"/>
      <c r="V2" s="213"/>
      <c r="W2" s="214"/>
      <c r="X2" s="191"/>
      <c r="Y2" s="191"/>
      <c r="Z2" s="191"/>
      <c r="AA2" s="191"/>
      <c r="AB2" s="191"/>
      <c r="AC2" s="191"/>
      <c r="AD2" s="191"/>
      <c r="AE2" s="191"/>
    </row>
    <row r="3" spans="1:32" s="189" customFormat="1" ht="20.100000000000001" customHeight="1" thickBot="1">
      <c r="A3" s="188"/>
      <c r="B3" s="190"/>
      <c r="C3" s="190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383" t="s">
        <v>317</v>
      </c>
      <c r="S3" s="384"/>
      <c r="T3" s="384"/>
      <c r="U3" s="384"/>
      <c r="V3" s="384"/>
      <c r="W3" s="385"/>
      <c r="X3" s="188"/>
      <c r="Y3" s="188"/>
      <c r="Z3" s="188"/>
      <c r="AA3" s="188"/>
      <c r="AB3" s="188"/>
      <c r="AC3" s="188"/>
      <c r="AD3" s="188"/>
      <c r="AE3" s="188"/>
    </row>
    <row r="4" spans="1:32" s="192" customFormat="1" ht="20.100000000000001" customHeight="1" thickBot="1">
      <c r="A4" s="191"/>
      <c r="B4" s="363" t="s">
        <v>219</v>
      </c>
      <c r="C4" s="364"/>
      <c r="D4" s="381">
        <v>18</v>
      </c>
      <c r="E4" s="382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268" t="s">
        <v>271</v>
      </c>
      <c r="S4" s="386" t="s">
        <v>272</v>
      </c>
      <c r="T4" s="386"/>
      <c r="U4" s="267"/>
      <c r="V4" s="267"/>
      <c r="W4" s="269"/>
      <c r="X4" s="191"/>
      <c r="Y4" s="191"/>
      <c r="Z4" s="191"/>
      <c r="AA4" s="191"/>
      <c r="AB4" s="191"/>
      <c r="AC4" s="191"/>
      <c r="AD4" s="191"/>
      <c r="AE4" s="191"/>
    </row>
    <row r="5" spans="1:32" s="189" customFormat="1" ht="20.100000000000001" customHeight="1" thickBot="1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323" t="s">
        <v>324</v>
      </c>
      <c r="S5" s="324"/>
      <c r="T5" s="324"/>
      <c r="U5" s="324"/>
      <c r="V5" s="324"/>
      <c r="W5" s="325"/>
      <c r="X5" s="188"/>
      <c r="Y5" s="188"/>
      <c r="Z5" s="188"/>
      <c r="AA5" s="188"/>
      <c r="AB5" s="188"/>
      <c r="AC5" s="188"/>
      <c r="AD5" s="188"/>
      <c r="AE5" s="188"/>
    </row>
    <row r="6" spans="1:32" s="189" customFormat="1" ht="20.100000000000001" customHeight="1" thickBot="1">
      <c r="A6" s="188"/>
      <c r="B6" s="363" t="s">
        <v>279</v>
      </c>
      <c r="C6" s="364"/>
      <c r="D6" s="339" t="str">
        <f>입력!D31&amp;", "&amp;입력!D32&amp;", "&amp;입력!D33&amp;", "&amp;입력!D34&amp;", "&amp;입력!D35</f>
        <v>A엔지니어링, B엔지니어링, C엔지니어링, D엔지니어링, E엔지니어링</v>
      </c>
      <c r="E6" s="340"/>
      <c r="F6" s="340"/>
      <c r="G6" s="340"/>
      <c r="H6" s="340"/>
      <c r="I6" s="340"/>
      <c r="J6" s="340"/>
      <c r="K6" s="340"/>
      <c r="L6" s="340"/>
      <c r="M6" s="340"/>
      <c r="N6" s="341"/>
      <c r="O6" s="188"/>
      <c r="P6" s="188"/>
      <c r="Q6" s="188"/>
      <c r="R6" s="326"/>
      <c r="S6" s="327"/>
      <c r="T6" s="327"/>
      <c r="U6" s="327"/>
      <c r="V6" s="327"/>
      <c r="W6" s="328"/>
      <c r="X6" s="188"/>
      <c r="Y6" s="188"/>
      <c r="Z6" s="188"/>
      <c r="AA6" s="188"/>
      <c r="AB6" s="188"/>
      <c r="AC6" s="188"/>
      <c r="AD6" s="188"/>
      <c r="AE6" s="188"/>
    </row>
    <row r="7" spans="1:32" s="189" customFormat="1" ht="20.100000000000001" customHeight="1">
      <c r="A7" s="188"/>
      <c r="B7" s="188"/>
      <c r="C7" s="188"/>
      <c r="D7" s="188"/>
      <c r="E7" s="232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</row>
    <row r="8" spans="1:32" s="189" customFormat="1" ht="20.100000000000001" customHeight="1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</row>
    <row r="9" spans="1:32" s="189" customFormat="1" ht="20.100000000000001" customHeight="1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</row>
    <row r="10" spans="1:32" s="189" customFormat="1" ht="20.100000000000001" customHeight="1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</row>
    <row r="11" spans="1:32" s="189" customFormat="1" ht="20.100000000000001" customHeight="1" thickBot="1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</row>
    <row r="12" spans="1:32" s="194" customFormat="1" ht="20.100000000000001" customHeight="1">
      <c r="A12" s="193"/>
      <c r="B12" s="356" t="s">
        <v>248</v>
      </c>
      <c r="C12" s="357"/>
      <c r="D12" s="349" t="s">
        <v>220</v>
      </c>
      <c r="E12" s="318"/>
      <c r="F12" s="318"/>
      <c r="G12" s="318"/>
      <c r="H12" s="318"/>
      <c r="I12" s="318"/>
      <c r="J12" s="318"/>
      <c r="K12" s="348"/>
      <c r="L12" s="317" t="s">
        <v>221</v>
      </c>
      <c r="M12" s="348"/>
      <c r="N12" s="289" t="s">
        <v>222</v>
      </c>
      <c r="O12" s="310"/>
      <c r="P12" s="298"/>
      <c r="Q12" s="298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</row>
    <row r="13" spans="1:32" s="194" customFormat="1" ht="27.75" customHeight="1">
      <c r="A13" s="193"/>
      <c r="B13" s="358"/>
      <c r="C13" s="359"/>
      <c r="D13" s="261" t="s">
        <v>318</v>
      </c>
      <c r="E13" s="200" t="s">
        <v>223</v>
      </c>
      <c r="F13" s="201" t="s">
        <v>224</v>
      </c>
      <c r="G13" s="201" t="s">
        <v>254</v>
      </c>
      <c r="H13" s="201" t="s">
        <v>251</v>
      </c>
      <c r="I13" s="201" t="s">
        <v>253</v>
      </c>
      <c r="J13" s="292" t="s">
        <v>359</v>
      </c>
      <c r="K13" s="292" t="s">
        <v>360</v>
      </c>
      <c r="L13" s="292" t="s">
        <v>258</v>
      </c>
      <c r="M13" s="292" t="s">
        <v>259</v>
      </c>
      <c r="N13" s="290" t="s">
        <v>252</v>
      </c>
      <c r="O13" s="310"/>
      <c r="P13" s="298"/>
      <c r="Q13" s="298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</row>
    <row r="14" spans="1:32" s="196" customFormat="1" ht="20.100000000000001" customHeight="1">
      <c r="A14" s="195"/>
      <c r="B14" s="365" t="s">
        <v>225</v>
      </c>
      <c r="C14" s="366"/>
      <c r="D14" s="246" t="s">
        <v>319</v>
      </c>
      <c r="E14" s="230" t="s">
        <v>280</v>
      </c>
      <c r="F14" s="205" t="s">
        <v>273</v>
      </c>
      <c r="G14" s="211">
        <v>5905</v>
      </c>
      <c r="H14" s="218">
        <v>20</v>
      </c>
      <c r="I14" s="205">
        <v>2</v>
      </c>
      <c r="J14" s="205" t="s">
        <v>131</v>
      </c>
      <c r="K14" s="205" t="s">
        <v>131</v>
      </c>
      <c r="L14" s="205" t="s">
        <v>131</v>
      </c>
      <c r="M14" s="205">
        <v>0</v>
      </c>
      <c r="N14" s="206">
        <v>12.1</v>
      </c>
      <c r="O14" s="311"/>
      <c r="P14" s="299"/>
      <c r="Q14" s="299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</row>
    <row r="15" spans="1:32" s="196" customFormat="1" ht="20.100000000000001" customHeight="1">
      <c r="A15" s="195"/>
      <c r="B15" s="365" t="s">
        <v>266</v>
      </c>
      <c r="C15" s="202" t="s">
        <v>265</v>
      </c>
      <c r="D15" s="246" t="s">
        <v>319</v>
      </c>
      <c r="E15" s="230" t="s">
        <v>281</v>
      </c>
      <c r="F15" s="205" t="s">
        <v>273</v>
      </c>
      <c r="G15" s="211">
        <v>5631</v>
      </c>
      <c r="H15" s="218">
        <v>25.79</v>
      </c>
      <c r="I15" s="205">
        <v>2</v>
      </c>
      <c r="J15" s="205" t="s">
        <v>131</v>
      </c>
      <c r="K15" s="205" t="s">
        <v>131</v>
      </c>
      <c r="L15" s="205" t="s">
        <v>131</v>
      </c>
      <c r="M15" s="205">
        <v>0</v>
      </c>
      <c r="N15" s="206">
        <v>0</v>
      </c>
      <c r="O15" s="311"/>
      <c r="P15" s="299"/>
      <c r="Q15" s="299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</row>
    <row r="16" spans="1:32" s="196" customFormat="1" ht="20.100000000000001" customHeight="1">
      <c r="A16" s="195"/>
      <c r="B16" s="365"/>
      <c r="C16" s="212" t="s">
        <v>326</v>
      </c>
      <c r="D16" s="246" t="s">
        <v>319</v>
      </c>
      <c r="E16" s="230" t="s">
        <v>282</v>
      </c>
      <c r="F16" s="205" t="s">
        <v>273</v>
      </c>
      <c r="G16" s="211">
        <v>13241</v>
      </c>
      <c r="H16" s="218">
        <v>18.82</v>
      </c>
      <c r="I16" s="205">
        <v>2</v>
      </c>
      <c r="J16" s="205" t="s">
        <v>131</v>
      </c>
      <c r="K16" s="205" t="s">
        <v>131</v>
      </c>
      <c r="L16" s="205" t="s">
        <v>131</v>
      </c>
      <c r="M16" s="205">
        <v>0</v>
      </c>
      <c r="N16" s="206">
        <v>18.600000000000001</v>
      </c>
      <c r="O16" s="311"/>
      <c r="P16" s="299"/>
      <c r="Q16" s="299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</row>
    <row r="17" spans="1:32" s="196" customFormat="1" ht="20.100000000000001" customHeight="1">
      <c r="A17" s="195"/>
      <c r="B17" s="365"/>
      <c r="C17" s="212" t="s">
        <v>327</v>
      </c>
      <c r="D17" s="246" t="s">
        <v>320</v>
      </c>
      <c r="E17" s="230" t="s">
        <v>283</v>
      </c>
      <c r="F17" s="205" t="s">
        <v>273</v>
      </c>
      <c r="G17" s="211">
        <v>10867</v>
      </c>
      <c r="H17" s="218">
        <v>19.18</v>
      </c>
      <c r="I17" s="205">
        <v>2</v>
      </c>
      <c r="J17" s="205" t="s">
        <v>131</v>
      </c>
      <c r="K17" s="205" t="s">
        <v>131</v>
      </c>
      <c r="L17" s="205" t="s">
        <v>131</v>
      </c>
      <c r="M17" s="205">
        <v>0</v>
      </c>
      <c r="N17" s="206">
        <v>25</v>
      </c>
      <c r="O17" s="311"/>
      <c r="P17" s="299"/>
      <c r="Q17" s="299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</row>
    <row r="18" spans="1:32" s="196" customFormat="1" ht="20.100000000000001" customHeight="1">
      <c r="A18" s="195"/>
      <c r="B18" s="365"/>
      <c r="C18" s="212" t="s">
        <v>274</v>
      </c>
      <c r="D18" s="246" t="s">
        <v>320</v>
      </c>
      <c r="E18" s="230" t="s">
        <v>284</v>
      </c>
      <c r="F18" s="205" t="s">
        <v>273</v>
      </c>
      <c r="G18" s="211">
        <v>6089</v>
      </c>
      <c r="H18" s="218">
        <v>11.85</v>
      </c>
      <c r="I18" s="205">
        <v>2</v>
      </c>
      <c r="J18" s="205" t="s">
        <v>131</v>
      </c>
      <c r="K18" s="205" t="s">
        <v>131</v>
      </c>
      <c r="L18" s="205" t="s">
        <v>131</v>
      </c>
      <c r="M18" s="205">
        <v>0</v>
      </c>
      <c r="N18" s="206">
        <v>48.3</v>
      </c>
      <c r="O18" s="311"/>
      <c r="P18" s="299"/>
      <c r="Q18" s="299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</row>
    <row r="19" spans="1:32" s="196" customFormat="1" ht="20.100000000000001" customHeight="1">
      <c r="A19" s="195"/>
      <c r="B19" s="365" t="s">
        <v>267</v>
      </c>
      <c r="C19" s="212" t="s">
        <v>265</v>
      </c>
      <c r="D19" s="246" t="s">
        <v>319</v>
      </c>
      <c r="E19" s="230" t="s">
        <v>285</v>
      </c>
      <c r="F19" s="205" t="s">
        <v>250</v>
      </c>
      <c r="G19" s="211">
        <v>1948</v>
      </c>
      <c r="H19" s="218">
        <v>13</v>
      </c>
      <c r="I19" s="205">
        <v>2</v>
      </c>
      <c r="J19" s="342"/>
      <c r="K19" s="205" t="s">
        <v>131</v>
      </c>
      <c r="L19" s="286"/>
      <c r="M19" s="205">
        <v>0</v>
      </c>
      <c r="N19" s="206">
        <v>12</v>
      </c>
      <c r="O19" s="311"/>
      <c r="P19" s="299"/>
      <c r="Q19" s="299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</row>
    <row r="20" spans="1:32" s="196" customFormat="1" ht="20.100000000000001" customHeight="1">
      <c r="A20" s="195"/>
      <c r="B20" s="365"/>
      <c r="C20" s="270" t="s">
        <v>326</v>
      </c>
      <c r="D20" s="246" t="s">
        <v>320</v>
      </c>
      <c r="E20" s="230" t="s">
        <v>286</v>
      </c>
      <c r="F20" s="205" t="s">
        <v>149</v>
      </c>
      <c r="G20" s="211">
        <v>12632</v>
      </c>
      <c r="H20" s="218">
        <v>11.43</v>
      </c>
      <c r="I20" s="205">
        <v>2</v>
      </c>
      <c r="J20" s="343"/>
      <c r="K20" s="205" t="s">
        <v>131</v>
      </c>
      <c r="L20" s="287"/>
      <c r="M20" s="205">
        <v>0</v>
      </c>
      <c r="N20" s="206">
        <v>8.9</v>
      </c>
      <c r="O20" s="311"/>
      <c r="P20" s="299"/>
      <c r="Q20" s="299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</row>
    <row r="21" spans="1:32" s="196" customFormat="1" ht="20.100000000000001" customHeight="1">
      <c r="A21" s="195"/>
      <c r="B21" s="365"/>
      <c r="C21" s="270" t="s">
        <v>327</v>
      </c>
      <c r="D21" s="246" t="s">
        <v>319</v>
      </c>
      <c r="E21" s="230" t="s">
        <v>287</v>
      </c>
      <c r="F21" s="205" t="s">
        <v>149</v>
      </c>
      <c r="G21" s="211">
        <v>10714</v>
      </c>
      <c r="H21" s="218">
        <v>6.64</v>
      </c>
      <c r="I21" s="205">
        <v>2</v>
      </c>
      <c r="J21" s="343"/>
      <c r="K21" s="205" t="s">
        <v>131</v>
      </c>
      <c r="L21" s="287"/>
      <c r="M21" s="205">
        <v>0</v>
      </c>
      <c r="N21" s="206">
        <v>12</v>
      </c>
      <c r="O21" s="311"/>
      <c r="P21" s="299"/>
      <c r="Q21" s="299"/>
      <c r="R21" s="195"/>
      <c r="S21" s="195"/>
      <c r="T21" s="277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</row>
    <row r="22" spans="1:32" s="196" customFormat="1" ht="20.100000000000001" customHeight="1">
      <c r="A22" s="195"/>
      <c r="B22" s="365"/>
      <c r="C22" s="212" t="s">
        <v>274</v>
      </c>
      <c r="D22" s="246" t="s">
        <v>319</v>
      </c>
      <c r="E22" s="230" t="s">
        <v>288</v>
      </c>
      <c r="F22" s="205" t="s">
        <v>149</v>
      </c>
      <c r="G22" s="211">
        <v>6331</v>
      </c>
      <c r="H22" s="218">
        <v>10.89</v>
      </c>
      <c r="I22" s="205">
        <v>2</v>
      </c>
      <c r="J22" s="343"/>
      <c r="K22" s="205" t="s">
        <v>131</v>
      </c>
      <c r="L22" s="287"/>
      <c r="M22" s="205">
        <v>0</v>
      </c>
      <c r="N22" s="206">
        <v>21.2</v>
      </c>
      <c r="O22" s="311"/>
      <c r="P22" s="299"/>
      <c r="Q22" s="299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</row>
    <row r="23" spans="1:32" s="196" customFormat="1" ht="20.100000000000001" customHeight="1">
      <c r="A23" s="195"/>
      <c r="B23" s="360" t="s">
        <v>268</v>
      </c>
      <c r="C23" s="262" t="s">
        <v>265</v>
      </c>
      <c r="D23" s="246" t="s">
        <v>320</v>
      </c>
      <c r="E23" s="230" t="s">
        <v>328</v>
      </c>
      <c r="F23" s="342"/>
      <c r="G23" s="350"/>
      <c r="H23" s="353"/>
      <c r="I23" s="342"/>
      <c r="J23" s="343"/>
      <c r="K23" s="345"/>
      <c r="L23" s="287"/>
      <c r="M23" s="293"/>
      <c r="N23" s="206">
        <v>1</v>
      </c>
      <c r="O23" s="311"/>
      <c r="P23" s="299"/>
      <c r="Q23" s="299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</row>
    <row r="24" spans="1:32" s="196" customFormat="1" ht="20.100000000000001" customHeight="1">
      <c r="A24" s="195"/>
      <c r="B24" s="361"/>
      <c r="C24" s="270" t="s">
        <v>326</v>
      </c>
      <c r="D24" s="246" t="s">
        <v>320</v>
      </c>
      <c r="E24" s="230" t="s">
        <v>329</v>
      </c>
      <c r="F24" s="343"/>
      <c r="G24" s="351"/>
      <c r="H24" s="354"/>
      <c r="I24" s="343"/>
      <c r="J24" s="343"/>
      <c r="K24" s="346"/>
      <c r="L24" s="287"/>
      <c r="M24" s="294"/>
      <c r="N24" s="206">
        <v>6</v>
      </c>
      <c r="O24" s="311"/>
      <c r="P24" s="299"/>
      <c r="Q24" s="299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</row>
    <row r="25" spans="1:32" s="196" customFormat="1" ht="20.100000000000001" customHeight="1">
      <c r="A25" s="195"/>
      <c r="B25" s="361"/>
      <c r="C25" s="270" t="s">
        <v>327</v>
      </c>
      <c r="D25" s="246" t="s">
        <v>319</v>
      </c>
      <c r="E25" s="230" t="s">
        <v>330</v>
      </c>
      <c r="F25" s="343"/>
      <c r="G25" s="351"/>
      <c r="H25" s="354"/>
      <c r="I25" s="343"/>
      <c r="J25" s="343"/>
      <c r="K25" s="346"/>
      <c r="L25" s="287"/>
      <c r="M25" s="294"/>
      <c r="N25" s="206">
        <v>6</v>
      </c>
      <c r="O25" s="311"/>
      <c r="P25" s="299"/>
      <c r="Q25" s="299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</row>
    <row r="26" spans="1:32" s="196" customFormat="1" ht="20.100000000000001" customHeight="1" thickBot="1">
      <c r="A26" s="195"/>
      <c r="B26" s="362"/>
      <c r="C26" s="203" t="s">
        <v>274</v>
      </c>
      <c r="D26" s="266" t="s">
        <v>319</v>
      </c>
      <c r="E26" s="231" t="s">
        <v>331</v>
      </c>
      <c r="F26" s="344"/>
      <c r="G26" s="352"/>
      <c r="H26" s="355"/>
      <c r="I26" s="344"/>
      <c r="J26" s="344"/>
      <c r="K26" s="347"/>
      <c r="L26" s="288"/>
      <c r="M26" s="295"/>
      <c r="N26" s="207">
        <v>6</v>
      </c>
      <c r="O26" s="311"/>
      <c r="P26" s="299"/>
      <c r="Q26" s="299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</row>
    <row r="27" spans="1:32" s="196" customFormat="1" ht="20.100000000000001" customHeight="1" thickBot="1">
      <c r="A27" s="195"/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</row>
    <row r="28" spans="1:32" s="194" customFormat="1" ht="20.100000000000001" customHeight="1">
      <c r="A28" s="193"/>
      <c r="B28" s="356" t="s">
        <v>226</v>
      </c>
      <c r="C28" s="357"/>
      <c r="D28" s="348" t="s">
        <v>227</v>
      </c>
      <c r="E28" s="374" t="s">
        <v>228</v>
      </c>
      <c r="F28" s="329" t="s">
        <v>229</v>
      </c>
      <c r="G28" s="331"/>
      <c r="H28" s="329" t="s">
        <v>230</v>
      </c>
      <c r="I28" s="331"/>
      <c r="J28" s="329" t="s">
        <v>350</v>
      </c>
      <c r="K28" s="330"/>
      <c r="L28" s="331"/>
      <c r="M28" s="329" t="s">
        <v>231</v>
      </c>
      <c r="N28" s="330"/>
      <c r="O28" s="331"/>
      <c r="P28" s="329" t="s">
        <v>232</v>
      </c>
      <c r="Q28" s="331"/>
      <c r="R28" s="329" t="s">
        <v>233</v>
      </c>
      <c r="S28" s="330"/>
      <c r="T28" s="331"/>
      <c r="U28" s="329" t="s">
        <v>234</v>
      </c>
      <c r="V28" s="331"/>
      <c r="W28" s="329" t="s">
        <v>235</v>
      </c>
      <c r="X28" s="330"/>
      <c r="Y28" s="331"/>
      <c r="Z28" s="317" t="s">
        <v>313</v>
      </c>
      <c r="AA28" s="318"/>
      <c r="AB28" s="318"/>
      <c r="AC28" s="319"/>
      <c r="AD28" s="193"/>
      <c r="AE28" s="193"/>
      <c r="AF28" s="193"/>
    </row>
    <row r="29" spans="1:32" s="194" customFormat="1" ht="20.100000000000001" customHeight="1">
      <c r="A29" s="193"/>
      <c r="B29" s="371"/>
      <c r="C29" s="372"/>
      <c r="D29" s="334"/>
      <c r="E29" s="336"/>
      <c r="F29" s="332"/>
      <c r="G29" s="334"/>
      <c r="H29" s="332"/>
      <c r="I29" s="334"/>
      <c r="J29" s="332"/>
      <c r="K29" s="333"/>
      <c r="L29" s="334"/>
      <c r="M29" s="332"/>
      <c r="N29" s="333"/>
      <c r="O29" s="334"/>
      <c r="P29" s="332"/>
      <c r="Q29" s="334"/>
      <c r="R29" s="332"/>
      <c r="S29" s="333"/>
      <c r="T29" s="334"/>
      <c r="U29" s="332"/>
      <c r="V29" s="334"/>
      <c r="W29" s="332"/>
      <c r="X29" s="333"/>
      <c r="Y29" s="334"/>
      <c r="Z29" s="335" t="s">
        <v>333</v>
      </c>
      <c r="AA29" s="320" t="s">
        <v>335</v>
      </c>
      <c r="AB29" s="321"/>
      <c r="AC29" s="322"/>
      <c r="AD29" s="193"/>
      <c r="AE29" s="193"/>
      <c r="AF29" s="193"/>
    </row>
    <row r="30" spans="1:32" s="194" customFormat="1" ht="42.75" customHeight="1">
      <c r="A30" s="193"/>
      <c r="B30" s="358"/>
      <c r="C30" s="359"/>
      <c r="D30" s="373"/>
      <c r="E30" s="375"/>
      <c r="F30" s="198" t="s">
        <v>236</v>
      </c>
      <c r="G30" s="198" t="s">
        <v>255</v>
      </c>
      <c r="H30" s="198" t="s">
        <v>256</v>
      </c>
      <c r="I30" s="284" t="s">
        <v>349</v>
      </c>
      <c r="J30" s="292" t="s">
        <v>355</v>
      </c>
      <c r="K30" s="292" t="s">
        <v>356</v>
      </c>
      <c r="L30" s="292" t="s">
        <v>363</v>
      </c>
      <c r="M30" s="198" t="s">
        <v>342</v>
      </c>
      <c r="N30" s="198" t="s">
        <v>257</v>
      </c>
      <c r="O30" s="198" t="s">
        <v>260</v>
      </c>
      <c r="P30" s="292" t="s">
        <v>237</v>
      </c>
      <c r="Q30" s="292" t="s">
        <v>261</v>
      </c>
      <c r="R30" s="292" t="s">
        <v>262</v>
      </c>
      <c r="S30" s="197" t="s">
        <v>263</v>
      </c>
      <c r="T30" s="292" t="s">
        <v>264</v>
      </c>
      <c r="U30" s="292" t="s">
        <v>241</v>
      </c>
      <c r="V30" s="292" t="s">
        <v>242</v>
      </c>
      <c r="W30" s="292" t="s">
        <v>238</v>
      </c>
      <c r="X30" s="292" t="s">
        <v>239</v>
      </c>
      <c r="Y30" s="292" t="s">
        <v>240</v>
      </c>
      <c r="Z30" s="336"/>
      <c r="AA30" s="291" t="s">
        <v>340</v>
      </c>
      <c r="AB30" s="292" t="s">
        <v>341</v>
      </c>
      <c r="AC30" s="281" t="s">
        <v>334</v>
      </c>
      <c r="AD30" s="193"/>
      <c r="AE30" s="193"/>
      <c r="AF30" s="193"/>
    </row>
    <row r="31" spans="1:32" s="196" customFormat="1" ht="20.100000000000001" customHeight="1">
      <c r="A31" s="195"/>
      <c r="B31" s="369" t="s">
        <v>243</v>
      </c>
      <c r="C31" s="370"/>
      <c r="D31" s="246" t="s">
        <v>319</v>
      </c>
      <c r="E31" s="208">
        <v>0.7</v>
      </c>
      <c r="F31" s="205">
        <v>13.28</v>
      </c>
      <c r="G31" s="221">
        <v>7230</v>
      </c>
      <c r="H31" s="217" t="s">
        <v>364</v>
      </c>
      <c r="I31" s="285">
        <v>0.5</v>
      </c>
      <c r="J31" s="217">
        <v>1</v>
      </c>
      <c r="K31" s="300">
        <v>96.6</v>
      </c>
      <c r="L31" s="217">
        <v>2</v>
      </c>
      <c r="M31" s="205" t="s">
        <v>131</v>
      </c>
      <c r="N31" s="218">
        <v>0</v>
      </c>
      <c r="O31" s="218">
        <v>0.09</v>
      </c>
      <c r="P31" s="205" t="s">
        <v>275</v>
      </c>
      <c r="Q31" s="217">
        <v>3</v>
      </c>
      <c r="R31" s="228">
        <v>0</v>
      </c>
      <c r="S31" s="228">
        <v>8</v>
      </c>
      <c r="T31" s="228">
        <v>0</v>
      </c>
      <c r="U31" s="226">
        <v>3896</v>
      </c>
      <c r="V31" s="226">
        <v>77666</v>
      </c>
      <c r="W31" s="228">
        <v>5.9</v>
      </c>
      <c r="X31" s="228">
        <v>0</v>
      </c>
      <c r="Y31" s="228">
        <v>0</v>
      </c>
      <c r="Z31" s="218">
        <v>3</v>
      </c>
      <c r="AA31" s="337">
        <v>1</v>
      </c>
      <c r="AB31" s="337">
        <v>13</v>
      </c>
      <c r="AC31" s="315">
        <f>1/13*100</f>
        <v>7.6923076923076925</v>
      </c>
      <c r="AD31" s="195"/>
      <c r="AE31" s="195"/>
      <c r="AF31" s="195"/>
    </row>
    <row r="32" spans="1:32" s="196" customFormat="1" ht="20.100000000000001" customHeight="1">
      <c r="A32" s="195"/>
      <c r="B32" s="369" t="s">
        <v>244</v>
      </c>
      <c r="C32" s="370"/>
      <c r="D32" s="246" t="s">
        <v>320</v>
      </c>
      <c r="E32" s="208">
        <v>0.3</v>
      </c>
      <c r="F32" s="205">
        <v>0.5</v>
      </c>
      <c r="G32" s="221">
        <v>438</v>
      </c>
      <c r="H32" s="217" t="s">
        <v>364</v>
      </c>
      <c r="I32" s="285">
        <v>0.2</v>
      </c>
      <c r="J32" s="302">
        <v>0</v>
      </c>
      <c r="K32" s="300">
        <v>0</v>
      </c>
      <c r="L32" s="308">
        <v>1.8</v>
      </c>
      <c r="M32" s="205" t="s">
        <v>269</v>
      </c>
      <c r="N32" s="218">
        <v>0</v>
      </c>
      <c r="O32" s="218">
        <v>0</v>
      </c>
      <c r="P32" s="205" t="s">
        <v>276</v>
      </c>
      <c r="Q32" s="217">
        <v>2.8</v>
      </c>
      <c r="R32" s="228">
        <v>0</v>
      </c>
      <c r="S32" s="228">
        <v>0</v>
      </c>
      <c r="T32" s="228">
        <v>0</v>
      </c>
      <c r="U32" s="226">
        <v>482</v>
      </c>
      <c r="V32" s="226">
        <v>14664</v>
      </c>
      <c r="W32" s="228">
        <v>1.2</v>
      </c>
      <c r="X32" s="228">
        <v>0</v>
      </c>
      <c r="Y32" s="228">
        <v>0</v>
      </c>
      <c r="Z32" s="218">
        <v>3</v>
      </c>
      <c r="AA32" s="338"/>
      <c r="AB32" s="338"/>
      <c r="AC32" s="316"/>
      <c r="AD32" s="195"/>
      <c r="AE32" s="195"/>
      <c r="AF32" s="195"/>
    </row>
    <row r="33" spans="1:32" s="196" customFormat="1" ht="20.100000000000001" customHeight="1">
      <c r="A33" s="195"/>
      <c r="B33" s="369" t="s">
        <v>245</v>
      </c>
      <c r="C33" s="370"/>
      <c r="D33" s="246" t="s">
        <v>321</v>
      </c>
      <c r="E33" s="208"/>
      <c r="F33" s="205"/>
      <c r="G33" s="221"/>
      <c r="H33" s="217" t="s">
        <v>364</v>
      </c>
      <c r="I33" s="205"/>
      <c r="J33" s="302">
        <v>0</v>
      </c>
      <c r="K33" s="300">
        <v>0</v>
      </c>
      <c r="L33" s="308">
        <v>1.8</v>
      </c>
      <c r="M33" s="205"/>
      <c r="N33" s="218"/>
      <c r="O33" s="218"/>
      <c r="P33" s="205"/>
      <c r="Q33" s="217"/>
      <c r="R33" s="228">
        <v>2</v>
      </c>
      <c r="S33" s="228"/>
      <c r="T33" s="228"/>
      <c r="U33" s="226"/>
      <c r="V33" s="226"/>
      <c r="W33" s="228"/>
      <c r="X33" s="228"/>
      <c r="Y33" s="228"/>
      <c r="Z33" s="218"/>
      <c r="AA33" s="218"/>
      <c r="AB33" s="218"/>
      <c r="AC33" s="279"/>
      <c r="AD33" s="195"/>
      <c r="AE33" s="195"/>
      <c r="AF33" s="195"/>
    </row>
    <row r="34" spans="1:32" s="196" customFormat="1" ht="20.100000000000001" customHeight="1">
      <c r="A34" s="195"/>
      <c r="B34" s="369" t="s">
        <v>246</v>
      </c>
      <c r="C34" s="370"/>
      <c r="D34" s="246" t="s">
        <v>322</v>
      </c>
      <c r="E34" s="208"/>
      <c r="F34" s="205"/>
      <c r="G34" s="221"/>
      <c r="H34" s="217" t="s">
        <v>364</v>
      </c>
      <c r="I34" s="205"/>
      <c r="J34" s="302">
        <v>0</v>
      </c>
      <c r="K34" s="300">
        <v>0</v>
      </c>
      <c r="L34" s="308">
        <v>1.6</v>
      </c>
      <c r="M34" s="205"/>
      <c r="N34" s="218"/>
      <c r="O34" s="218"/>
      <c r="P34" s="205"/>
      <c r="Q34" s="217"/>
      <c r="R34" s="228"/>
      <c r="S34" s="228"/>
      <c r="T34" s="228"/>
      <c r="U34" s="226"/>
      <c r="V34" s="226"/>
      <c r="W34" s="228"/>
      <c r="X34" s="228"/>
      <c r="Y34" s="228"/>
      <c r="Z34" s="218"/>
      <c r="AA34" s="218"/>
      <c r="AB34" s="218"/>
      <c r="AC34" s="279"/>
      <c r="AD34" s="195"/>
      <c r="AE34" s="195"/>
      <c r="AF34" s="195"/>
    </row>
    <row r="35" spans="1:32" s="196" customFormat="1" ht="20.100000000000001" customHeight="1" thickBot="1">
      <c r="A35" s="195"/>
      <c r="B35" s="367" t="s">
        <v>247</v>
      </c>
      <c r="C35" s="368"/>
      <c r="D35" s="266" t="s">
        <v>323</v>
      </c>
      <c r="E35" s="209"/>
      <c r="F35" s="210"/>
      <c r="G35" s="222"/>
      <c r="H35" s="225" t="s">
        <v>364</v>
      </c>
      <c r="I35" s="210"/>
      <c r="J35" s="303">
        <v>0</v>
      </c>
      <c r="K35" s="301">
        <v>0</v>
      </c>
      <c r="L35" s="309">
        <v>1.4</v>
      </c>
      <c r="M35" s="210"/>
      <c r="N35" s="245"/>
      <c r="O35" s="245"/>
      <c r="P35" s="210"/>
      <c r="Q35" s="225"/>
      <c r="R35" s="229"/>
      <c r="S35" s="229"/>
      <c r="T35" s="229"/>
      <c r="U35" s="227"/>
      <c r="V35" s="227"/>
      <c r="W35" s="229"/>
      <c r="X35" s="229"/>
      <c r="Y35" s="229"/>
      <c r="Z35" s="245"/>
      <c r="AA35" s="245"/>
      <c r="AB35" s="245"/>
      <c r="AC35" s="280"/>
      <c r="AD35" s="195"/>
      <c r="AE35" s="195"/>
      <c r="AF35" s="195"/>
    </row>
    <row r="36" spans="1:32" s="189" customFormat="1" ht="20.100000000000001" customHeight="1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</row>
    <row r="37" spans="1:32" s="189" customFormat="1" ht="20.100000000000001" customHeight="1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</row>
    <row r="38" spans="1:32" ht="20.100000000000001" hidden="1" customHeight="1">
      <c r="AE38"/>
      <c r="AF38"/>
    </row>
    <row r="39" spans="1:32" ht="20.100000000000001" hidden="1" customHeight="1">
      <c r="C39" s="187" t="s">
        <v>48</v>
      </c>
      <c r="AE39"/>
      <c r="AF39"/>
    </row>
    <row r="40" spans="1:32" ht="20.100000000000001" hidden="1" customHeight="1">
      <c r="C40" s="187" t="s">
        <v>44</v>
      </c>
      <c r="AE40"/>
      <c r="AF40"/>
    </row>
    <row r="41" spans="1:32" ht="20.100000000000001" hidden="1" customHeight="1">
      <c r="C41" s="187" t="s">
        <v>47</v>
      </c>
      <c r="AE41"/>
      <c r="AF41"/>
    </row>
    <row r="42" spans="1:32" ht="20.100000000000001" hidden="1" customHeight="1">
      <c r="C42" s="187" t="s">
        <v>277</v>
      </c>
      <c r="AE42"/>
      <c r="AF42"/>
    </row>
    <row r="43" spans="1:32" ht="20.100000000000001" hidden="1" customHeight="1">
      <c r="AE43"/>
      <c r="AF43"/>
    </row>
    <row r="44" spans="1:32" ht="20.100000000000001" hidden="1" customHeight="1">
      <c r="AE44"/>
      <c r="AF44"/>
    </row>
    <row r="45" spans="1:32" ht="20.100000000000001" hidden="1" customHeight="1">
      <c r="AE45"/>
      <c r="AF45"/>
    </row>
  </sheetData>
  <mergeCells count="45">
    <mergeCell ref="R2:S2"/>
    <mergeCell ref="B2:C2"/>
    <mergeCell ref="D2:P2"/>
    <mergeCell ref="B4:C4"/>
    <mergeCell ref="D4:E4"/>
    <mergeCell ref="R3:W3"/>
    <mergeCell ref="S4:T4"/>
    <mergeCell ref="B35:C35"/>
    <mergeCell ref="B33:C33"/>
    <mergeCell ref="B31:C31"/>
    <mergeCell ref="B32:C32"/>
    <mergeCell ref="F28:G29"/>
    <mergeCell ref="B28:C30"/>
    <mergeCell ref="D28:D30"/>
    <mergeCell ref="B34:C34"/>
    <mergeCell ref="E28:E30"/>
    <mergeCell ref="B12:C13"/>
    <mergeCell ref="B23:B26"/>
    <mergeCell ref="B6:C6"/>
    <mergeCell ref="B15:B18"/>
    <mergeCell ref="B19:B22"/>
    <mergeCell ref="B14:C14"/>
    <mergeCell ref="D6:N6"/>
    <mergeCell ref="F23:F26"/>
    <mergeCell ref="AB31:AB32"/>
    <mergeCell ref="J28:L29"/>
    <mergeCell ref="J19:J26"/>
    <mergeCell ref="M28:O29"/>
    <mergeCell ref="K23:K26"/>
    <mergeCell ref="L12:M12"/>
    <mergeCell ref="D12:K12"/>
    <mergeCell ref="G23:G26"/>
    <mergeCell ref="H23:H26"/>
    <mergeCell ref="I23:I26"/>
    <mergeCell ref="H28:I29"/>
    <mergeCell ref="P28:Q29"/>
    <mergeCell ref="AC31:AC32"/>
    <mergeCell ref="Z28:AC28"/>
    <mergeCell ref="AA29:AC29"/>
    <mergeCell ref="R5:W6"/>
    <mergeCell ref="R28:T29"/>
    <mergeCell ref="U28:V29"/>
    <mergeCell ref="W28:Y29"/>
    <mergeCell ref="Z29:Z30"/>
    <mergeCell ref="AA31:AA32"/>
  </mergeCells>
  <phoneticPr fontId="2" type="noConversion"/>
  <dataValidations count="2">
    <dataValidation type="date" allowBlank="1" showInputMessage="1" showErrorMessage="1" sqref="G14:G23">
      <formula1>1</formula1>
      <formula2>36525</formula2>
    </dataValidation>
    <dataValidation type="list" allowBlank="1" showInputMessage="1" showErrorMessage="1" sqref="C15:C26">
      <formula1>$C$39:$C$42</formula1>
    </dataValidation>
  </dataValidations>
  <pageMargins left="0.7" right="0.7" top="0.75" bottom="0.75" header="0.3" footer="0.3"/>
  <pageSetup paperSize="9" orientation="portrait" verticalDpi="4294967295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F63"/>
  <sheetViews>
    <sheetView view="pageBreakPreview" zoomScale="90" zoomScaleNormal="100" zoomScaleSheetLayoutView="90" workbookViewId="0">
      <selection activeCell="D23" sqref="D23"/>
    </sheetView>
  </sheetViews>
  <sheetFormatPr defaultRowHeight="13.5"/>
  <cols>
    <col min="1" max="1" width="12.77734375" style="12" customWidth="1"/>
    <col min="2" max="2" width="14.88671875" style="12" customWidth="1"/>
    <col min="3" max="3" width="15.44140625" style="12" customWidth="1"/>
    <col min="4" max="4" width="10.77734375" style="139" customWidth="1"/>
    <col min="5" max="5" width="44.88671875" style="139" customWidth="1"/>
    <col min="6" max="16384" width="8.88671875" style="12"/>
  </cols>
  <sheetData>
    <row r="1" spans="1:6" s="1" customFormat="1" ht="37.5" customHeight="1">
      <c r="A1" s="410" t="str">
        <f>입력!D2 &amp; " 자기평가서"</f>
        <v>OO OO천(OO지구) 지방하천 정비사업 실시설계용역 자기평가서</v>
      </c>
      <c r="B1" s="410"/>
      <c r="C1" s="410"/>
      <c r="D1" s="410"/>
      <c r="E1" s="410"/>
    </row>
    <row r="2" spans="1:6" s="1" customFormat="1" ht="37.5" customHeight="1">
      <c r="A2" s="256" t="s">
        <v>302</v>
      </c>
      <c r="B2" s="257" t="str">
        <f>입력!D2</f>
        <v>OO OO천(OO지구) 지방하천 정비사업 실시설계용역</v>
      </c>
      <c r="C2" s="250"/>
      <c r="D2" s="250"/>
      <c r="E2" s="250"/>
    </row>
    <row r="3" spans="1:6" s="1" customFormat="1" ht="37.5" customHeight="1" thickBot="1">
      <c r="A3" s="258" t="s">
        <v>303</v>
      </c>
      <c r="B3" s="257" t="str">
        <f>참여기술자!E7</f>
        <v>A엔지니어링, B엔지니어링, C엔지니어링, D엔지니어링, E엔지니어링</v>
      </c>
      <c r="C3" s="250"/>
      <c r="D3" s="251"/>
      <c r="E3" s="250"/>
    </row>
    <row r="4" spans="1:6" s="101" customFormat="1" ht="21.75" customHeight="1" thickBot="1">
      <c r="A4" s="392" t="s">
        <v>200</v>
      </c>
      <c r="B4" s="393"/>
      <c r="C4" s="394"/>
      <c r="D4" s="175"/>
      <c r="E4" s="176"/>
    </row>
    <row r="5" spans="1:6" s="2" customFormat="1" ht="54.95" customHeight="1" thickBot="1">
      <c r="A5" s="398" t="s">
        <v>304</v>
      </c>
      <c r="B5" s="398"/>
      <c r="C5" s="398"/>
      <c r="D5" s="177" t="s">
        <v>7</v>
      </c>
      <c r="E5" s="233" t="s">
        <v>305</v>
      </c>
      <c r="F5" s="164"/>
    </row>
    <row r="6" spans="1:6" s="2" customFormat="1" ht="23.1" customHeight="1">
      <c r="A6" s="400"/>
      <c r="B6" s="400"/>
      <c r="C6" s="400"/>
      <c r="D6" s="97"/>
      <c r="E6" s="178"/>
    </row>
    <row r="7" spans="1:6" s="174" customFormat="1" ht="23.1" customHeight="1">
      <c r="A7" s="411" t="s">
        <v>24</v>
      </c>
      <c r="B7" s="411"/>
      <c r="C7" s="411"/>
      <c r="D7" s="173">
        <f>SUM(D8,D25,D30,D35,D39,D44)</f>
        <v>100.5</v>
      </c>
      <c r="E7" s="186">
        <f>SUM(E8,E25,E30,E35,E39,E44)</f>
        <v>100.38</v>
      </c>
    </row>
    <row r="8" spans="1:6" s="2" customFormat="1" ht="23.1" customHeight="1">
      <c r="A8" s="401" t="s">
        <v>33</v>
      </c>
      <c r="B8" s="395" t="s">
        <v>1</v>
      </c>
      <c r="C8" s="395"/>
      <c r="D8" s="98">
        <f>SUM(D9,D15,D19,D23,D24)</f>
        <v>50</v>
      </c>
      <c r="E8" s="7">
        <f>SUM(E9,E15,E19,E23,E24)</f>
        <v>50</v>
      </c>
    </row>
    <row r="9" spans="1:6" s="2" customFormat="1" ht="23.1" customHeight="1">
      <c r="A9" s="402"/>
      <c r="B9" s="405" t="s">
        <v>62</v>
      </c>
      <c r="C9" s="3" t="s">
        <v>18</v>
      </c>
      <c r="D9" s="103">
        <f>SUM(D10:D14)</f>
        <v>15</v>
      </c>
      <c r="E9" s="107">
        <f>SUM(E10:E14)</f>
        <v>15</v>
      </c>
    </row>
    <row r="10" spans="1:6" s="2" customFormat="1" ht="23.1" customHeight="1">
      <c r="A10" s="402"/>
      <c r="B10" s="406"/>
      <c r="C10" s="4" t="s">
        <v>17</v>
      </c>
      <c r="D10" s="170">
        <v>3</v>
      </c>
      <c r="E10" s="137">
        <f>참여기술자!E10</f>
        <v>3</v>
      </c>
    </row>
    <row r="11" spans="1:6" s="2" customFormat="1" ht="23.1" customHeight="1">
      <c r="A11" s="402"/>
      <c r="B11" s="406"/>
      <c r="C11" s="5" t="s">
        <v>16</v>
      </c>
      <c r="D11" s="170">
        <v>4</v>
      </c>
      <c r="E11" s="137">
        <f>참여기술자!E16</f>
        <v>4</v>
      </c>
    </row>
    <row r="12" spans="1:6" s="2" customFormat="1" ht="23.1" customHeight="1">
      <c r="A12" s="402"/>
      <c r="B12" s="406"/>
      <c r="C12" s="5" t="s">
        <v>15</v>
      </c>
      <c r="D12" s="170">
        <v>8</v>
      </c>
      <c r="E12" s="137">
        <f>참여기술자!E22</f>
        <v>8</v>
      </c>
    </row>
    <row r="13" spans="1:6" s="2" customFormat="1" ht="23.1" customHeight="1">
      <c r="A13" s="402"/>
      <c r="B13" s="406"/>
      <c r="C13" s="6" t="s">
        <v>83</v>
      </c>
      <c r="D13" s="171">
        <v>0</v>
      </c>
      <c r="E13" s="138"/>
    </row>
    <row r="14" spans="1:6" s="2" customFormat="1" ht="23.1" customHeight="1">
      <c r="A14" s="402"/>
      <c r="B14" s="407"/>
      <c r="C14" s="6" t="s">
        <v>84</v>
      </c>
      <c r="D14" s="171">
        <v>0</v>
      </c>
      <c r="E14" s="138"/>
    </row>
    <row r="15" spans="1:6" s="2" customFormat="1" ht="23.1" customHeight="1">
      <c r="A15" s="402"/>
      <c r="B15" s="399" t="s">
        <v>63</v>
      </c>
      <c r="C15" s="3" t="s">
        <v>18</v>
      </c>
      <c r="D15" s="99">
        <f>SUM(D16:D18)</f>
        <v>19</v>
      </c>
      <c r="E15" s="162">
        <f>SUM(E16:E18)</f>
        <v>19</v>
      </c>
    </row>
    <row r="16" spans="1:6" s="2" customFormat="1" ht="23.1" customHeight="1">
      <c r="A16" s="402"/>
      <c r="B16" s="389"/>
      <c r="C16" s="4" t="s">
        <v>17</v>
      </c>
      <c r="D16" s="170">
        <v>4</v>
      </c>
      <c r="E16" s="137">
        <f>참여기술자!E39</f>
        <v>4</v>
      </c>
    </row>
    <row r="17" spans="1:5" s="2" customFormat="1" ht="23.1" customHeight="1">
      <c r="A17" s="402"/>
      <c r="B17" s="389"/>
      <c r="C17" s="5" t="s">
        <v>16</v>
      </c>
      <c r="D17" s="170">
        <v>7</v>
      </c>
      <c r="E17" s="137">
        <f>참여기술자!E55</f>
        <v>7</v>
      </c>
    </row>
    <row r="18" spans="1:5" s="2" customFormat="1" ht="23.1" customHeight="1">
      <c r="A18" s="402"/>
      <c r="B18" s="389"/>
      <c r="C18" s="5" t="s">
        <v>15</v>
      </c>
      <c r="D18" s="170">
        <v>8</v>
      </c>
      <c r="E18" s="137">
        <f>참여기술자!E71</f>
        <v>8</v>
      </c>
    </row>
    <row r="19" spans="1:5" s="2" customFormat="1" ht="23.1" customHeight="1">
      <c r="A19" s="402"/>
      <c r="B19" s="399" t="s">
        <v>64</v>
      </c>
      <c r="C19" s="3" t="s">
        <v>18</v>
      </c>
      <c r="D19" s="99">
        <f>SUM(D20:D22)</f>
        <v>14</v>
      </c>
      <c r="E19" s="162">
        <f>SUM(E20:E22)</f>
        <v>14</v>
      </c>
    </row>
    <row r="20" spans="1:5" s="2" customFormat="1" ht="23.1" customHeight="1">
      <c r="A20" s="402"/>
      <c r="B20" s="389"/>
      <c r="C20" s="4" t="s">
        <v>17</v>
      </c>
      <c r="D20" s="170">
        <v>4</v>
      </c>
      <c r="E20" s="137">
        <f>참여기술자!E88</f>
        <v>4</v>
      </c>
    </row>
    <row r="21" spans="1:5" s="2" customFormat="1" ht="23.1" customHeight="1">
      <c r="A21" s="402"/>
      <c r="B21" s="389"/>
      <c r="C21" s="5" t="s">
        <v>16</v>
      </c>
      <c r="D21" s="170">
        <v>5</v>
      </c>
      <c r="E21" s="137">
        <f>참여기술자!E104</f>
        <v>5</v>
      </c>
    </row>
    <row r="22" spans="1:5" s="2" customFormat="1" ht="23.1" customHeight="1">
      <c r="A22" s="402"/>
      <c r="B22" s="389"/>
      <c r="C22" s="5" t="s">
        <v>15</v>
      </c>
      <c r="D22" s="170">
        <v>5</v>
      </c>
      <c r="E22" s="137">
        <f>참여기술자!E120</f>
        <v>5</v>
      </c>
    </row>
    <row r="23" spans="1:5" s="2" customFormat="1" ht="23.1" customHeight="1">
      <c r="A23" s="402"/>
      <c r="B23" s="389" t="s">
        <v>5</v>
      </c>
      <c r="C23" s="389"/>
      <c r="D23" s="170">
        <v>2</v>
      </c>
      <c r="E23" s="137">
        <f>참여기술자!E154</f>
        <v>2</v>
      </c>
    </row>
    <row r="24" spans="1:5" s="2" customFormat="1" ht="23.1" customHeight="1">
      <c r="A24" s="403"/>
      <c r="B24" s="399" t="s">
        <v>39</v>
      </c>
      <c r="C24" s="399"/>
      <c r="D24" s="170">
        <v>0</v>
      </c>
      <c r="E24" s="312">
        <f>참여기술자!E160</f>
        <v>0</v>
      </c>
    </row>
    <row r="25" spans="1:5" s="2" customFormat="1" ht="23.1" customHeight="1">
      <c r="A25" s="405" t="s">
        <v>8</v>
      </c>
      <c r="B25" s="395" t="s">
        <v>2</v>
      </c>
      <c r="C25" s="395"/>
      <c r="D25" s="98">
        <f>SUM(D26:D29)</f>
        <v>15</v>
      </c>
      <c r="E25" s="313">
        <f>SUM(E26:E29)</f>
        <v>14.94</v>
      </c>
    </row>
    <row r="26" spans="1:5" s="2" customFormat="1" ht="23.1" customHeight="1">
      <c r="A26" s="406"/>
      <c r="B26" s="389" t="s">
        <v>9</v>
      </c>
      <c r="C26" s="389"/>
      <c r="D26" s="170">
        <v>7</v>
      </c>
      <c r="E26" s="312">
        <f>'유사용역 '!D20</f>
        <v>7</v>
      </c>
    </row>
    <row r="27" spans="1:5" s="8" customFormat="1" ht="23.1" customHeight="1">
      <c r="A27" s="406"/>
      <c r="B27" s="404" t="s">
        <v>10</v>
      </c>
      <c r="C27" s="404"/>
      <c r="D27" s="99">
        <v>6</v>
      </c>
      <c r="E27" s="314">
        <f>'유사용역 '!D40</f>
        <v>6</v>
      </c>
    </row>
    <row r="28" spans="1:5" s="8" customFormat="1" ht="23.1" customHeight="1">
      <c r="A28" s="406"/>
      <c r="B28" s="404" t="s">
        <v>25</v>
      </c>
      <c r="C28" s="404"/>
      <c r="D28" s="99">
        <v>0</v>
      </c>
      <c r="E28" s="314">
        <f>'유사용역 '!D69</f>
        <v>0</v>
      </c>
    </row>
    <row r="29" spans="1:5" s="8" customFormat="1" ht="23.1" customHeight="1">
      <c r="A29" s="407"/>
      <c r="B29" s="408" t="s">
        <v>358</v>
      </c>
      <c r="C29" s="409"/>
      <c r="D29" s="297">
        <v>2</v>
      </c>
      <c r="E29" s="314">
        <f>'유사용역 '!D100</f>
        <v>1.94</v>
      </c>
    </row>
    <row r="30" spans="1:5" s="2" customFormat="1" ht="23.1" customHeight="1">
      <c r="A30" s="412" t="s">
        <v>19</v>
      </c>
      <c r="B30" s="395" t="s">
        <v>2</v>
      </c>
      <c r="C30" s="395"/>
      <c r="D30" s="98">
        <f>SUM(D31:D34)</f>
        <v>10</v>
      </c>
      <c r="E30" s="7">
        <f>SUM(E31,E34)</f>
        <v>9.94</v>
      </c>
    </row>
    <row r="31" spans="1:5" s="2" customFormat="1" ht="23.1" customHeight="1">
      <c r="A31" s="412"/>
      <c r="B31" s="397" t="s">
        <v>347</v>
      </c>
      <c r="C31" s="391"/>
      <c r="D31" s="390">
        <v>7</v>
      </c>
      <c r="E31" s="414">
        <f>신용도!E87</f>
        <v>7</v>
      </c>
    </row>
    <row r="32" spans="1:5" s="2" customFormat="1" ht="23.1" customHeight="1">
      <c r="A32" s="412"/>
      <c r="B32" s="397" t="s">
        <v>14</v>
      </c>
      <c r="C32" s="9" t="s">
        <v>31</v>
      </c>
      <c r="D32" s="390"/>
      <c r="E32" s="414"/>
    </row>
    <row r="33" spans="1:5" s="2" customFormat="1" ht="23.1" customHeight="1">
      <c r="A33" s="412"/>
      <c r="B33" s="397"/>
      <c r="C33" s="9" t="s">
        <v>32</v>
      </c>
      <c r="D33" s="390"/>
      <c r="E33" s="414"/>
    </row>
    <row r="34" spans="1:5" s="2" customFormat="1" ht="23.1" customHeight="1">
      <c r="A34" s="412"/>
      <c r="B34" s="391" t="s">
        <v>21</v>
      </c>
      <c r="C34" s="391"/>
      <c r="D34" s="99">
        <v>3</v>
      </c>
      <c r="E34" s="162">
        <f>신용도!E111</f>
        <v>2.9399999999999995</v>
      </c>
    </row>
    <row r="35" spans="1:5" s="2" customFormat="1" ht="23.1" customHeight="1">
      <c r="A35" s="412" t="s">
        <v>34</v>
      </c>
      <c r="B35" s="395" t="s">
        <v>2</v>
      </c>
      <c r="C35" s="395"/>
      <c r="D35" s="98">
        <f>SUM(D36:D38)</f>
        <v>15</v>
      </c>
      <c r="E35" s="7">
        <f>SUM(E36:E38)</f>
        <v>15</v>
      </c>
    </row>
    <row r="36" spans="1:5" s="2" customFormat="1" ht="23.1" customHeight="1">
      <c r="A36" s="413"/>
      <c r="B36" s="389" t="s">
        <v>3</v>
      </c>
      <c r="C36" s="389"/>
      <c r="D36" s="170">
        <v>2</v>
      </c>
      <c r="E36" s="137">
        <f>기술개발및투자실적!D35</f>
        <v>2</v>
      </c>
    </row>
    <row r="37" spans="1:5" s="2" customFormat="1" ht="23.1" customHeight="1">
      <c r="A37" s="413"/>
      <c r="B37" s="389" t="s">
        <v>4</v>
      </c>
      <c r="C37" s="389"/>
      <c r="D37" s="170">
        <v>10</v>
      </c>
      <c r="E37" s="137">
        <f>기술개발및투자실적!D65</f>
        <v>10</v>
      </c>
    </row>
    <row r="38" spans="1:5" s="2" customFormat="1" ht="23.1" customHeight="1">
      <c r="A38" s="413"/>
      <c r="B38" s="389" t="s">
        <v>22</v>
      </c>
      <c r="C38" s="389"/>
      <c r="D38" s="170">
        <v>3</v>
      </c>
      <c r="E38" s="137">
        <f>기술개발및투자실적!D100</f>
        <v>3</v>
      </c>
    </row>
    <row r="39" spans="1:5" s="2" customFormat="1" ht="23.1" customHeight="1">
      <c r="A39" s="412" t="s">
        <v>11</v>
      </c>
      <c r="B39" s="395" t="s">
        <v>2</v>
      </c>
      <c r="C39" s="395"/>
      <c r="D39" s="169">
        <f>SUM(D40:D43)</f>
        <v>10</v>
      </c>
      <c r="E39" s="7">
        <f>SUM(E40:E43)</f>
        <v>10</v>
      </c>
    </row>
    <row r="40" spans="1:5" s="2" customFormat="1" ht="23.1" customHeight="1">
      <c r="A40" s="413"/>
      <c r="B40" s="389" t="s">
        <v>58</v>
      </c>
      <c r="C40" s="389"/>
      <c r="D40" s="172">
        <v>3</v>
      </c>
      <c r="E40" s="137">
        <f>업무중첩도!E7</f>
        <v>3</v>
      </c>
    </row>
    <row r="41" spans="1:5" s="2" customFormat="1" ht="23.1" customHeight="1">
      <c r="A41" s="413"/>
      <c r="B41" s="389" t="s">
        <v>59</v>
      </c>
      <c r="C41" s="389"/>
      <c r="D41" s="172">
        <v>4</v>
      </c>
      <c r="E41" s="137">
        <f>업무중첩도!E26</f>
        <v>4</v>
      </c>
    </row>
    <row r="42" spans="1:5" s="2" customFormat="1" ht="23.1" customHeight="1">
      <c r="A42" s="413"/>
      <c r="B42" s="389" t="s">
        <v>60</v>
      </c>
      <c r="C42" s="389"/>
      <c r="D42" s="172">
        <v>2</v>
      </c>
      <c r="E42" s="137">
        <f>업무중첩도!E46</f>
        <v>2</v>
      </c>
    </row>
    <row r="43" spans="1:5" s="2" customFormat="1" ht="23.1" customHeight="1">
      <c r="A43" s="413"/>
      <c r="B43" s="389" t="s">
        <v>61</v>
      </c>
      <c r="C43" s="389"/>
      <c r="D43" s="172">
        <v>1</v>
      </c>
      <c r="E43" s="137">
        <f>업무중첩도!E66</f>
        <v>1</v>
      </c>
    </row>
    <row r="44" spans="1:5" s="10" customFormat="1" ht="23.1" customHeight="1">
      <c r="A44" s="387" t="s">
        <v>45</v>
      </c>
      <c r="B44" s="396" t="s">
        <v>2</v>
      </c>
      <c r="C44" s="396"/>
      <c r="D44" s="78">
        <f>SUM(D45:D46)</f>
        <v>0.5</v>
      </c>
      <c r="E44" s="264">
        <f>SUM(E45:E46)</f>
        <v>0.5</v>
      </c>
    </row>
    <row r="45" spans="1:5" s="11" customFormat="1" ht="23.1" customHeight="1">
      <c r="A45" s="388"/>
      <c r="B45" s="389" t="s">
        <v>46</v>
      </c>
      <c r="C45" s="389"/>
      <c r="D45" s="170">
        <v>0.3</v>
      </c>
      <c r="E45" s="137">
        <f>가점!D25</f>
        <v>0.3</v>
      </c>
    </row>
    <row r="46" spans="1:5" ht="23.1" customHeight="1">
      <c r="A46" s="388"/>
      <c r="B46" s="389" t="s">
        <v>314</v>
      </c>
      <c r="C46" s="389"/>
      <c r="D46" s="170">
        <v>0.2</v>
      </c>
      <c r="E46" s="265">
        <f>가점!D32</f>
        <v>0.2</v>
      </c>
    </row>
    <row r="47" spans="1:5" ht="23.1" customHeight="1"/>
    <row r="48" spans="1:5" ht="38.25" customHeight="1"/>
    <row r="49" ht="38.25" customHeight="1"/>
    <row r="50" ht="38.25" customHeight="1"/>
    <row r="51" ht="38.25" customHeight="1"/>
    <row r="52" ht="38.25" customHeight="1"/>
    <row r="53" ht="38.25" customHeight="1"/>
    <row r="54" ht="38.25" customHeight="1"/>
    <row r="55" ht="38.25" customHeight="1"/>
    <row r="56" ht="38.25" customHeight="1"/>
    <row r="57" ht="38.25" customHeight="1"/>
    <row r="58" ht="38.25" customHeight="1"/>
    <row r="59" ht="38.25" customHeight="1"/>
    <row r="60" ht="38.25" customHeight="1"/>
    <row r="61" ht="38.25" customHeight="1"/>
    <row r="62" ht="38.25" customHeight="1"/>
    <row r="63" ht="38.25" customHeight="1"/>
  </sheetData>
  <sheetProtection algorithmName="SHA-512" hashValue="YAjbhr0dw6Epcv1Id+bzxPQbStm/LzDNoFuqiXbGQcGGCF8JUX9ikMI/3rSXm5kc7fKV+sBoTus0/ZEgjWS2WQ==" saltValue="N5hcMQCZJEY9xTPjLIDWeA==" spinCount="100000" sheet="1" objects="1" scenarios="1"/>
  <protectedRanges>
    <protectedRange sqref="A4:E4" name="범위1"/>
  </protectedRanges>
  <mergeCells count="40">
    <mergeCell ref="A1:E1"/>
    <mergeCell ref="A7:C7"/>
    <mergeCell ref="B8:C8"/>
    <mergeCell ref="B9:B14"/>
    <mergeCell ref="B45:C45"/>
    <mergeCell ref="B28:C28"/>
    <mergeCell ref="A39:A43"/>
    <mergeCell ref="A30:A34"/>
    <mergeCell ref="B37:C37"/>
    <mergeCell ref="B40:C40"/>
    <mergeCell ref="A35:A38"/>
    <mergeCell ref="B31:C31"/>
    <mergeCell ref="B41:C41"/>
    <mergeCell ref="B42:C42"/>
    <mergeCell ref="E31:E33"/>
    <mergeCell ref="B23:C23"/>
    <mergeCell ref="B25:C25"/>
    <mergeCell ref="A8:A24"/>
    <mergeCell ref="B24:C24"/>
    <mergeCell ref="B30:C30"/>
    <mergeCell ref="B27:C27"/>
    <mergeCell ref="B26:C26"/>
    <mergeCell ref="A25:A29"/>
    <mergeCell ref="B29:C29"/>
    <mergeCell ref="A44:A46"/>
    <mergeCell ref="B46:C46"/>
    <mergeCell ref="D31:D33"/>
    <mergeCell ref="B34:C34"/>
    <mergeCell ref="A4:C4"/>
    <mergeCell ref="B35:C35"/>
    <mergeCell ref="B44:C44"/>
    <mergeCell ref="B43:C43"/>
    <mergeCell ref="B39:C39"/>
    <mergeCell ref="B36:C36"/>
    <mergeCell ref="B38:C38"/>
    <mergeCell ref="B32:B33"/>
    <mergeCell ref="A5:C5"/>
    <mergeCell ref="B15:B18"/>
    <mergeCell ref="B19:B22"/>
    <mergeCell ref="A6:C6"/>
  </mergeCells>
  <phoneticPr fontId="2" type="noConversion"/>
  <printOptions horizontalCentered="1"/>
  <pageMargins left="0.6692913385826772" right="0.39370078740157483" top="0.9055118110236221" bottom="0.27559055118110237" header="0.43307086614173229" footer="0.23622047244094491"/>
  <pageSetup paperSize="8" scale="80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65"/>
  <sheetViews>
    <sheetView view="pageBreakPreview" topLeftCell="A155" zoomScaleNormal="100" zoomScaleSheetLayoutView="100" workbookViewId="0">
      <selection activeCell="G155" sqref="G155"/>
    </sheetView>
  </sheetViews>
  <sheetFormatPr defaultRowHeight="16.5"/>
  <cols>
    <col min="1" max="1" width="16.88671875" style="39" customWidth="1"/>
    <col min="2" max="3" width="7.77734375" style="39" customWidth="1"/>
    <col min="4" max="4" width="11.109375" style="39" customWidth="1"/>
    <col min="5" max="5" width="44.21875" style="81" customWidth="1"/>
    <col min="6" max="16384" width="8.88671875" style="11"/>
  </cols>
  <sheetData>
    <row r="1" spans="1:10" ht="27">
      <c r="A1" s="452" t="s">
        <v>307</v>
      </c>
      <c r="B1" s="452"/>
      <c r="C1" s="452"/>
      <c r="D1" s="452"/>
      <c r="E1" s="452"/>
      <c r="F1" s="260"/>
      <c r="G1" s="260"/>
    </row>
    <row r="2" spans="1:10">
      <c r="A2" s="256" t="s">
        <v>302</v>
      </c>
      <c r="B2" s="259" t="str">
        <f>총괄표!B2</f>
        <v>OO OO천(OO지구) 지방하천 정비사업 실시설계용역</v>
      </c>
    </row>
    <row r="3" spans="1:10">
      <c r="A3" s="258" t="s">
        <v>303</v>
      </c>
      <c r="B3" s="259" t="str">
        <f>E7</f>
        <v>A엔지니어링, B엔지니어링, C엔지니어링, D엔지니어링, E엔지니어링</v>
      </c>
    </row>
    <row r="4" spans="1:10" ht="24.95" customHeight="1">
      <c r="A4" s="243" t="s">
        <v>26</v>
      </c>
      <c r="B4" s="243"/>
      <c r="C4" s="253"/>
      <c r="D4" s="243"/>
      <c r="E4" s="243"/>
    </row>
    <row r="5" spans="1:10" s="79" customFormat="1" ht="24.95" customHeight="1">
      <c r="A5" s="236" t="s">
        <v>78</v>
      </c>
      <c r="B5" s="236"/>
      <c r="C5" s="236"/>
      <c r="D5" s="236"/>
      <c r="E5" s="86"/>
      <c r="F5" s="76"/>
    </row>
    <row r="6" spans="1:10" s="12" customFormat="1" ht="24.95" customHeight="1" thickBot="1">
      <c r="A6" s="235" t="s">
        <v>65</v>
      </c>
      <c r="B6" s="235"/>
      <c r="C6" s="255"/>
      <c r="D6" s="235"/>
      <c r="E6" s="102"/>
      <c r="F6" s="11"/>
    </row>
    <row r="7" spans="1:10" ht="54.95" customHeight="1" thickBot="1">
      <c r="A7" s="437" t="s">
        <v>306</v>
      </c>
      <c r="B7" s="438"/>
      <c r="C7" s="438"/>
      <c r="D7" s="438"/>
      <c r="E7" s="223" t="str">
        <f>입력!D31&amp;", "&amp;입력!D32&amp;", "&amp;입력!D33&amp;", "&amp;입력!D34&amp;", "&amp;입력!D35</f>
        <v>A엔지니어링, B엔지니어링, C엔지니어링, D엔지니어링, E엔지니어링</v>
      </c>
      <c r="F7" s="453"/>
      <c r="G7" s="454"/>
      <c r="H7" s="454"/>
      <c r="I7" s="454"/>
      <c r="J7" s="454"/>
    </row>
    <row r="8" spans="1:10" s="19" customFormat="1" ht="31.5" customHeight="1">
      <c r="A8" s="439" t="s">
        <v>289</v>
      </c>
      <c r="B8" s="440"/>
      <c r="C8" s="415" t="str">
        <f>입력!D14</f>
        <v>A엔지니어링</v>
      </c>
      <c r="D8" s="21" t="s">
        <v>6</v>
      </c>
      <c r="E8" s="157" t="str">
        <f>입력!E14</f>
        <v>홍길동1</v>
      </c>
      <c r="F8" s="179"/>
    </row>
    <row r="9" spans="1:10" s="19" customFormat="1" ht="31.5" customHeight="1">
      <c r="A9" s="441"/>
      <c r="B9" s="442"/>
      <c r="C9" s="421"/>
      <c r="D9" s="25" t="s">
        <v>41</v>
      </c>
      <c r="E9" s="163" t="str">
        <f>입력!F14</f>
        <v>특급</v>
      </c>
      <c r="F9" s="179"/>
    </row>
    <row r="10" spans="1:10" ht="30" customHeight="1">
      <c r="A10" s="418" t="s">
        <v>35</v>
      </c>
      <c r="B10" s="425"/>
      <c r="C10" s="425"/>
      <c r="D10" s="419"/>
      <c r="E10" s="15">
        <f>IF(E9="기술사",3,IF(E9="특급",3,IF(E9="고급",1.5)))</f>
        <v>3</v>
      </c>
    </row>
    <row r="11" spans="1:10" ht="9.9499999999999993" customHeight="1">
      <c r="A11" s="16"/>
      <c r="B11" s="16"/>
      <c r="C11" s="16"/>
      <c r="D11" s="16"/>
      <c r="E11" s="104"/>
    </row>
    <row r="12" spans="1:10" s="12" customFormat="1" ht="24.95" customHeight="1">
      <c r="A12" s="237" t="s">
        <v>66</v>
      </c>
      <c r="B12" s="237"/>
      <c r="C12" s="237"/>
      <c r="D12" s="237"/>
      <c r="E12" s="241"/>
      <c r="F12" s="11"/>
    </row>
    <row r="13" spans="1:10" s="76" customFormat="1" ht="54.95" customHeight="1">
      <c r="A13" s="422" t="str">
        <f>$A$7</f>
        <v xml:space="preserve">                                                        회  사  별
  구    분</v>
      </c>
      <c r="B13" s="423"/>
      <c r="C13" s="423"/>
      <c r="D13" s="424"/>
      <c r="E13" s="80" t="str">
        <f>E$7</f>
        <v>A엔지니어링, B엔지니어링, C엔지니어링, D엔지니어링, E엔지니어링</v>
      </c>
    </row>
    <row r="14" spans="1:10" ht="40.5" customHeight="1">
      <c r="A14" s="443" t="s">
        <v>290</v>
      </c>
      <c r="B14" s="444"/>
      <c r="C14" s="455" t="str">
        <f>C8</f>
        <v>A엔지니어링</v>
      </c>
      <c r="D14" s="242" t="s">
        <v>36</v>
      </c>
      <c r="E14" s="244" t="str">
        <f>E$8</f>
        <v>홍길동1</v>
      </c>
    </row>
    <row r="15" spans="1:10" s="19" customFormat="1" ht="48.75" customHeight="1">
      <c r="A15" s="445"/>
      <c r="B15" s="446"/>
      <c r="C15" s="456"/>
      <c r="D15" s="25" t="s">
        <v>28</v>
      </c>
      <c r="E15" s="158">
        <f>입력!G14</f>
        <v>5905</v>
      </c>
      <c r="F15" s="179"/>
    </row>
    <row r="16" spans="1:10" ht="30" customHeight="1">
      <c r="A16" s="418" t="s">
        <v>35</v>
      </c>
      <c r="B16" s="425"/>
      <c r="C16" s="425"/>
      <c r="D16" s="419"/>
      <c r="E16" s="15">
        <f>IF(E15&gt;=5475,4,IF(E15&gt;=4745,3,IF(E15&gt;=4015,2,IF(E15&lt;4015,1))))</f>
        <v>4</v>
      </c>
    </row>
    <row r="17" spans="1:6" ht="9.9499999999999993" customHeight="1">
      <c r="A17" s="16"/>
      <c r="B17" s="16"/>
      <c r="C17" s="16"/>
      <c r="D17" s="16"/>
      <c r="E17" s="104"/>
    </row>
    <row r="18" spans="1:6" s="12" customFormat="1" ht="24.95" customHeight="1">
      <c r="A18" s="237" t="s">
        <v>67</v>
      </c>
      <c r="B18" s="237"/>
      <c r="C18" s="237"/>
      <c r="D18" s="237"/>
      <c r="E18" s="241"/>
      <c r="F18" s="11"/>
    </row>
    <row r="19" spans="1:6" s="76" customFormat="1" ht="54.95" customHeight="1">
      <c r="A19" s="422" t="str">
        <f>$A$7</f>
        <v xml:space="preserve">                                                        회  사  별
  구    분</v>
      </c>
      <c r="B19" s="423"/>
      <c r="C19" s="423"/>
      <c r="D19" s="424"/>
      <c r="E19" s="80" t="str">
        <f>E$7</f>
        <v>A엔지니어링, B엔지니어링, C엔지니어링, D엔지니어링, E엔지니어링</v>
      </c>
    </row>
    <row r="20" spans="1:6" ht="41.25" customHeight="1">
      <c r="A20" s="447" t="s">
        <v>291</v>
      </c>
      <c r="B20" s="448"/>
      <c r="C20" s="432" t="str">
        <f>C8</f>
        <v>A엔지니어링</v>
      </c>
      <c r="D20" s="242" t="s">
        <v>6</v>
      </c>
      <c r="E20" s="244" t="str">
        <f>E$8</f>
        <v>홍길동1</v>
      </c>
    </row>
    <row r="21" spans="1:6" s="19" customFormat="1" ht="58.5" customHeight="1">
      <c r="A21" s="449"/>
      <c r="B21" s="450"/>
      <c r="C21" s="434"/>
      <c r="D21" s="242" t="s">
        <v>37</v>
      </c>
      <c r="E21" s="159">
        <f>입력!H14</f>
        <v>20</v>
      </c>
    </row>
    <row r="22" spans="1:6" ht="30" customHeight="1">
      <c r="A22" s="418" t="s">
        <v>35</v>
      </c>
      <c r="B22" s="425"/>
      <c r="C22" s="425"/>
      <c r="D22" s="419"/>
      <c r="E22" s="15">
        <f>IF(E21&gt;=10,8,IF(E21&gt;=8,7.2,IF(E21&gt;=6,6.4,IF(E21&gt;=4,5.6,IF(E21&lt;4,4.8)))))</f>
        <v>8</v>
      </c>
    </row>
    <row r="23" spans="1:6" ht="19.5" customHeight="1">
      <c r="A23" s="16"/>
      <c r="B23" s="16"/>
      <c r="C23" s="16"/>
      <c r="D23" s="16"/>
      <c r="E23" s="104"/>
    </row>
    <row r="24" spans="1:6" s="79" customFormat="1" ht="24.95" customHeight="1">
      <c r="A24" s="236" t="s">
        <v>79</v>
      </c>
      <c r="B24" s="236"/>
      <c r="C24" s="236"/>
      <c r="D24" s="236"/>
      <c r="E24" s="86"/>
      <c r="F24" s="76"/>
    </row>
    <row r="25" spans="1:6" s="20" customFormat="1" ht="24.95" customHeight="1">
      <c r="A25" s="235" t="s">
        <v>68</v>
      </c>
      <c r="B25" s="235"/>
      <c r="C25" s="255"/>
      <c r="D25" s="235"/>
      <c r="E25" s="235"/>
      <c r="F25" s="180"/>
    </row>
    <row r="26" spans="1:6" s="76" customFormat="1" ht="54.95" customHeight="1">
      <c r="A26" s="422" t="str">
        <f>$A$7</f>
        <v xml:space="preserve">                                                        회  사  별
  구    분</v>
      </c>
      <c r="B26" s="423"/>
      <c r="C26" s="423"/>
      <c r="D26" s="424"/>
      <c r="E26" s="80" t="str">
        <f>E$7</f>
        <v>A엔지니어링, B엔지니어링, C엔지니어링, D엔지니어링, E엔지니어링</v>
      </c>
    </row>
    <row r="27" spans="1:6" s="19" customFormat="1" ht="50.1" customHeight="1">
      <c r="A27" s="415" t="s">
        <v>292</v>
      </c>
      <c r="B27" s="415" t="s">
        <v>48</v>
      </c>
      <c r="C27" s="415" t="str">
        <f>입력!D15</f>
        <v>A엔지니어링</v>
      </c>
      <c r="D27" s="21" t="s">
        <v>6</v>
      </c>
      <c r="E27" s="157" t="str">
        <f>입력!E15</f>
        <v>홍길동2</v>
      </c>
      <c r="F27" s="179"/>
    </row>
    <row r="28" spans="1:6" s="19" customFormat="1" ht="50.1" customHeight="1">
      <c r="A28" s="416"/>
      <c r="B28" s="416"/>
      <c r="C28" s="420"/>
      <c r="D28" s="21" t="s">
        <v>27</v>
      </c>
      <c r="E28" s="160" t="str">
        <f>입력!F15</f>
        <v>특급</v>
      </c>
      <c r="F28" s="179"/>
    </row>
    <row r="29" spans="1:6" ht="50.1" customHeight="1">
      <c r="A29" s="417"/>
      <c r="B29" s="417"/>
      <c r="C29" s="421"/>
      <c r="D29" s="21" t="s">
        <v>0</v>
      </c>
      <c r="E29" s="106">
        <f>(IF(E28="특급",4,IF(E28="고급",4,IF(E28="중급",2,IF(E28="초급",1)))))</f>
        <v>4</v>
      </c>
    </row>
    <row r="30" spans="1:6" s="19" customFormat="1" ht="50.1" customHeight="1">
      <c r="A30" s="415" t="s">
        <v>292</v>
      </c>
      <c r="B30" s="415" t="s">
        <v>47</v>
      </c>
      <c r="C30" s="415" t="str">
        <f>입력!D16</f>
        <v>A엔지니어링</v>
      </c>
      <c r="D30" s="21" t="s">
        <v>6</v>
      </c>
      <c r="E30" s="157" t="str">
        <f>입력!E16</f>
        <v>홍길동3</v>
      </c>
      <c r="F30" s="179"/>
    </row>
    <row r="31" spans="1:6" s="19" customFormat="1" ht="50.1" customHeight="1">
      <c r="A31" s="416"/>
      <c r="B31" s="416"/>
      <c r="C31" s="420"/>
      <c r="D31" s="21" t="s">
        <v>27</v>
      </c>
      <c r="E31" s="160" t="str">
        <f>입력!F16</f>
        <v>특급</v>
      </c>
      <c r="F31" s="179"/>
    </row>
    <row r="32" spans="1:6" ht="50.1" customHeight="1">
      <c r="A32" s="417"/>
      <c r="B32" s="417"/>
      <c r="C32" s="421"/>
      <c r="D32" s="21" t="s">
        <v>0</v>
      </c>
      <c r="E32" s="106">
        <f>(IF(E31="특급",4,IF(E31="고급",4,IF(E31="중급",2,IF(E31="초급",1)))))</f>
        <v>4</v>
      </c>
    </row>
    <row r="33" spans="1:6" s="19" customFormat="1" ht="50.1" customHeight="1">
      <c r="A33" s="415" t="s">
        <v>292</v>
      </c>
      <c r="B33" s="415" t="s">
        <v>44</v>
      </c>
      <c r="C33" s="415" t="str">
        <f>입력!D17</f>
        <v>B엔지니어링</v>
      </c>
      <c r="D33" s="21" t="s">
        <v>6</v>
      </c>
      <c r="E33" s="157" t="str">
        <f>입력!E17</f>
        <v>홍길동4</v>
      </c>
      <c r="F33" s="179"/>
    </row>
    <row r="34" spans="1:6" s="19" customFormat="1" ht="50.1" customHeight="1">
      <c r="A34" s="416"/>
      <c r="B34" s="416"/>
      <c r="C34" s="420"/>
      <c r="D34" s="21" t="s">
        <v>27</v>
      </c>
      <c r="E34" s="160" t="str">
        <f>입력!F17</f>
        <v>특급</v>
      </c>
      <c r="F34" s="179"/>
    </row>
    <row r="35" spans="1:6" s="19" customFormat="1" ht="50.1" customHeight="1">
      <c r="A35" s="417"/>
      <c r="B35" s="417"/>
      <c r="C35" s="421"/>
      <c r="D35" s="21" t="s">
        <v>0</v>
      </c>
      <c r="E35" s="106">
        <f>(IF(E34="특급",4,IF(E34="고급",4,IF(E34="중급",2,IF(E34="초급",1)))))</f>
        <v>4</v>
      </c>
    </row>
    <row r="36" spans="1:6" s="19" customFormat="1" ht="50.1" customHeight="1">
      <c r="A36" s="415" t="s">
        <v>292</v>
      </c>
      <c r="B36" s="415" t="s">
        <v>49</v>
      </c>
      <c r="C36" s="415" t="str">
        <f>입력!D18</f>
        <v>B엔지니어링</v>
      </c>
      <c r="D36" s="21" t="s">
        <v>6</v>
      </c>
      <c r="E36" s="157" t="str">
        <f>입력!E18</f>
        <v>홍길동5</v>
      </c>
      <c r="F36" s="179"/>
    </row>
    <row r="37" spans="1:6" s="19" customFormat="1" ht="50.1" customHeight="1">
      <c r="A37" s="416"/>
      <c r="B37" s="416"/>
      <c r="C37" s="420"/>
      <c r="D37" s="21" t="s">
        <v>27</v>
      </c>
      <c r="E37" s="160" t="str">
        <f>입력!F18</f>
        <v>특급</v>
      </c>
      <c r="F37" s="179"/>
    </row>
    <row r="38" spans="1:6" ht="50.1" customHeight="1">
      <c r="A38" s="417"/>
      <c r="B38" s="417"/>
      <c r="C38" s="421"/>
      <c r="D38" s="21" t="s">
        <v>0</v>
      </c>
      <c r="E38" s="106">
        <f>(IF(E37="특급",4,IF(E37="고급",4,IF(E37="중급",2,IF(E37="초급",1)))))</f>
        <v>4</v>
      </c>
    </row>
    <row r="39" spans="1:6" ht="36" customHeight="1">
      <c r="A39" s="418" t="s">
        <v>29</v>
      </c>
      <c r="B39" s="419"/>
      <c r="C39" s="252"/>
      <c r="D39" s="22">
        <v>4</v>
      </c>
      <c r="E39" s="23">
        <f>SUM(E29,E32,E35,,E38)/$D$39</f>
        <v>4</v>
      </c>
    </row>
    <row r="40" spans="1:6" ht="9.9499999999999993" customHeight="1">
      <c r="A40" s="16"/>
      <c r="B40" s="16"/>
      <c r="C40" s="16"/>
      <c r="D40" s="16"/>
      <c r="E40" s="104"/>
    </row>
    <row r="41" spans="1:6" s="12" customFormat="1" ht="24.95" customHeight="1">
      <c r="A41" s="237" t="s">
        <v>69</v>
      </c>
      <c r="B41" s="237"/>
      <c r="C41" s="237"/>
      <c r="D41" s="237"/>
      <c r="E41" s="237"/>
      <c r="F41" s="11"/>
    </row>
    <row r="42" spans="1:6" s="76" customFormat="1" ht="54.95" customHeight="1">
      <c r="A42" s="422" t="str">
        <f>$A$7</f>
        <v xml:space="preserve">                                                        회  사  별
  구    분</v>
      </c>
      <c r="B42" s="423"/>
      <c r="C42" s="423"/>
      <c r="D42" s="424"/>
      <c r="E42" s="80" t="str">
        <f>E$7</f>
        <v>A엔지니어링, B엔지니어링, C엔지니어링, D엔지니어링, E엔지니어링</v>
      </c>
    </row>
    <row r="43" spans="1:6" ht="39.950000000000003" customHeight="1">
      <c r="A43" s="415" t="s">
        <v>70</v>
      </c>
      <c r="B43" s="415" t="str">
        <f>B27</f>
        <v>수자원</v>
      </c>
      <c r="C43" s="415" t="str">
        <f>C27</f>
        <v>A엔지니어링</v>
      </c>
      <c r="D43" s="242" t="s">
        <v>6</v>
      </c>
      <c r="E43" s="244" t="str">
        <f>입력!E15</f>
        <v>홍길동2</v>
      </c>
    </row>
    <row r="44" spans="1:6" s="19" customFormat="1" ht="39.950000000000003" customHeight="1">
      <c r="A44" s="416"/>
      <c r="B44" s="416"/>
      <c r="C44" s="420"/>
      <c r="D44" s="239" t="s">
        <v>28</v>
      </c>
      <c r="E44" s="158">
        <f>입력!G15</f>
        <v>5631</v>
      </c>
    </row>
    <row r="45" spans="1:6" ht="39.950000000000003" customHeight="1">
      <c r="A45" s="417"/>
      <c r="B45" s="417"/>
      <c r="C45" s="421"/>
      <c r="D45" s="242" t="s">
        <v>0</v>
      </c>
      <c r="E45" s="106">
        <f>(IF(E44&gt;=3650,7,IF(E44&gt;=2920,6.3,IF(E44&gt;=2190,5.6,IF(E44&gt;=1460,4.9,IF(E44&lt;1460,4.2))))))</f>
        <v>7</v>
      </c>
    </row>
    <row r="46" spans="1:6" ht="39.950000000000003" customHeight="1">
      <c r="A46" s="415" t="s">
        <v>70</v>
      </c>
      <c r="B46" s="415" t="str">
        <f>B30</f>
        <v>토질</v>
      </c>
      <c r="C46" s="415" t="str">
        <f t="shared" ref="C46" si="0">C30</f>
        <v>A엔지니어링</v>
      </c>
      <c r="D46" s="242" t="s">
        <v>6</v>
      </c>
      <c r="E46" s="244" t="str">
        <f>입력!E16</f>
        <v>홍길동3</v>
      </c>
    </row>
    <row r="47" spans="1:6" s="19" customFormat="1" ht="39.950000000000003" customHeight="1">
      <c r="A47" s="416"/>
      <c r="B47" s="416"/>
      <c r="C47" s="420"/>
      <c r="D47" s="25" t="s">
        <v>28</v>
      </c>
      <c r="E47" s="158">
        <f>입력!G16</f>
        <v>13241</v>
      </c>
    </row>
    <row r="48" spans="1:6" ht="39.950000000000003" customHeight="1">
      <c r="A48" s="417"/>
      <c r="B48" s="417"/>
      <c r="C48" s="421"/>
      <c r="D48" s="242" t="s">
        <v>0</v>
      </c>
      <c r="E48" s="106">
        <f>(IF(E47&gt;=3650,7,IF(E47&gt;=2920,6.3,IF(E47&gt;=2190,5.6,IF(E47&gt;=1460,4.9,IF(E47&lt;1460,4.2))))))</f>
        <v>7</v>
      </c>
    </row>
    <row r="49" spans="1:6" s="19" customFormat="1" ht="39.950000000000003" customHeight="1">
      <c r="A49" s="415" t="s">
        <v>70</v>
      </c>
      <c r="B49" s="415" t="str">
        <f>B33</f>
        <v>구조</v>
      </c>
      <c r="C49" s="415" t="str">
        <f t="shared" ref="C49" si="1">C33</f>
        <v>B엔지니어링</v>
      </c>
      <c r="D49" s="24" t="s">
        <v>6</v>
      </c>
      <c r="E49" s="107" t="str">
        <f>입력!E17</f>
        <v>홍길동4</v>
      </c>
    </row>
    <row r="50" spans="1:6" s="19" customFormat="1" ht="39.950000000000003" customHeight="1">
      <c r="A50" s="416"/>
      <c r="B50" s="416"/>
      <c r="C50" s="420"/>
      <c r="D50" s="25" t="s">
        <v>28</v>
      </c>
      <c r="E50" s="158">
        <f>입력!G17</f>
        <v>10867</v>
      </c>
    </row>
    <row r="51" spans="1:6" s="19" customFormat="1" ht="39.950000000000003" customHeight="1">
      <c r="A51" s="417"/>
      <c r="B51" s="417"/>
      <c r="C51" s="421"/>
      <c r="D51" s="242" t="s">
        <v>0</v>
      </c>
      <c r="E51" s="106">
        <f>(IF(E50&gt;=3650,7,IF(E50&gt;=2920,6.3,IF(E50&gt;=2190,5.6,IF(E50&gt;=1460,4.9,IF(E50&lt;1460,4.2))))))</f>
        <v>7</v>
      </c>
    </row>
    <row r="52" spans="1:6" ht="39.950000000000003" customHeight="1">
      <c r="A52" s="415" t="s">
        <v>70</v>
      </c>
      <c r="B52" s="415" t="str">
        <f>B36</f>
        <v>수질관리</v>
      </c>
      <c r="C52" s="415" t="str">
        <f t="shared" ref="C52" si="2">C36</f>
        <v>B엔지니어링</v>
      </c>
      <c r="D52" s="24" t="s">
        <v>6</v>
      </c>
      <c r="E52" s="107" t="str">
        <f>입력!E18</f>
        <v>홍길동5</v>
      </c>
    </row>
    <row r="53" spans="1:6" s="19" customFormat="1" ht="39.950000000000003" customHeight="1">
      <c r="A53" s="416"/>
      <c r="B53" s="416"/>
      <c r="C53" s="420"/>
      <c r="D53" s="25" t="s">
        <v>28</v>
      </c>
      <c r="E53" s="158">
        <f>입력!G18</f>
        <v>6089</v>
      </c>
    </row>
    <row r="54" spans="1:6" ht="39.950000000000003" customHeight="1">
      <c r="A54" s="417"/>
      <c r="B54" s="417"/>
      <c r="C54" s="421"/>
      <c r="D54" s="242" t="s">
        <v>0</v>
      </c>
      <c r="E54" s="106">
        <f>(IF(E53&gt;=3650,7,IF(E53&gt;=2920,6.3,IF(E53&gt;=2190,5.6,IF(E53&gt;=1460,4.9,IF(E53&lt;1460,4.2))))))</f>
        <v>7</v>
      </c>
    </row>
    <row r="55" spans="1:6" ht="27.95" customHeight="1">
      <c r="A55" s="418" t="s">
        <v>29</v>
      </c>
      <c r="B55" s="419"/>
      <c r="C55" s="252"/>
      <c r="D55" s="22">
        <v>4</v>
      </c>
      <c r="E55" s="15">
        <f>SUM(E45,E48,E51,E54)/$D$55</f>
        <v>7</v>
      </c>
    </row>
    <row r="56" spans="1:6" s="28" customFormat="1" ht="7.5" customHeight="1">
      <c r="A56" s="26"/>
      <c r="B56" s="26"/>
      <c r="C56" s="26"/>
      <c r="D56" s="26"/>
      <c r="E56" s="27"/>
    </row>
    <row r="57" spans="1:6" s="12" customFormat="1" ht="24.95" customHeight="1">
      <c r="A57" s="237" t="s">
        <v>71</v>
      </c>
      <c r="B57" s="237"/>
      <c r="C57" s="237"/>
      <c r="D57" s="237"/>
      <c r="E57" s="241"/>
      <c r="F57" s="11"/>
    </row>
    <row r="58" spans="1:6" s="76" customFormat="1" ht="54.95" customHeight="1">
      <c r="A58" s="422" t="str">
        <f>$A$7</f>
        <v xml:space="preserve">                                                        회  사  별
  구    분</v>
      </c>
      <c r="B58" s="423"/>
      <c r="C58" s="423"/>
      <c r="D58" s="424"/>
      <c r="E58" s="80" t="str">
        <f>E$7</f>
        <v>A엔지니어링, B엔지니어링, C엔지니어링, D엔지니어링, E엔지니어링</v>
      </c>
    </row>
    <row r="59" spans="1:6" ht="50.1" customHeight="1">
      <c r="A59" s="415" t="s">
        <v>293</v>
      </c>
      <c r="B59" s="415" t="str">
        <f>B27</f>
        <v>수자원</v>
      </c>
      <c r="C59" s="415" t="str">
        <f>C43</f>
        <v>A엔지니어링</v>
      </c>
      <c r="D59" s="242" t="s">
        <v>6</v>
      </c>
      <c r="E59" s="244" t="str">
        <f>입력!E15</f>
        <v>홍길동2</v>
      </c>
    </row>
    <row r="60" spans="1:6" s="19" customFormat="1" ht="50.1" customHeight="1">
      <c r="A60" s="416"/>
      <c r="B60" s="435"/>
      <c r="C60" s="420"/>
      <c r="D60" s="242" t="s">
        <v>37</v>
      </c>
      <c r="E60" s="159">
        <f>입력!H15</f>
        <v>25.79</v>
      </c>
    </row>
    <row r="61" spans="1:6" ht="50.1" customHeight="1">
      <c r="A61" s="417"/>
      <c r="B61" s="436"/>
      <c r="C61" s="421"/>
      <c r="D61" s="29" t="s">
        <v>0</v>
      </c>
      <c r="E61" s="106">
        <f>(IF(E60&gt;=7,8,IF(E60&gt;=6,7.2,IF(E60&gt;=5,6.4,IF(E60&gt;=4,5.6,IF(E60&lt;4,4.8))))))</f>
        <v>8</v>
      </c>
    </row>
    <row r="62" spans="1:6" ht="50.1" customHeight="1">
      <c r="A62" s="415" t="s">
        <v>293</v>
      </c>
      <c r="B62" s="415" t="str">
        <f>B46</f>
        <v>토질</v>
      </c>
      <c r="C62" s="415" t="str">
        <f t="shared" ref="C62" si="3">C46</f>
        <v>A엔지니어링</v>
      </c>
      <c r="D62" s="242" t="s">
        <v>6</v>
      </c>
      <c r="E62" s="244" t="str">
        <f>입력!E16</f>
        <v>홍길동3</v>
      </c>
    </row>
    <row r="63" spans="1:6" s="19" customFormat="1" ht="50.1" customHeight="1">
      <c r="A63" s="416"/>
      <c r="B63" s="435"/>
      <c r="C63" s="420"/>
      <c r="D63" s="242" t="s">
        <v>37</v>
      </c>
      <c r="E63" s="159">
        <f>입력!H16</f>
        <v>18.82</v>
      </c>
    </row>
    <row r="64" spans="1:6" ht="50.1" customHeight="1">
      <c r="A64" s="417"/>
      <c r="B64" s="436"/>
      <c r="C64" s="421"/>
      <c r="D64" s="29" t="s">
        <v>0</v>
      </c>
      <c r="E64" s="106">
        <f>(IF(E63&gt;=7,8,IF(E63&gt;=6,7.2,IF(E63&gt;=5,6.4,IF(E63&gt;=4,5.6,IF(E63&lt;4,4.8))))))</f>
        <v>8</v>
      </c>
    </row>
    <row r="65" spans="1:6" s="19" customFormat="1" ht="50.1" customHeight="1">
      <c r="A65" s="415" t="s">
        <v>293</v>
      </c>
      <c r="B65" s="415" t="str">
        <f>B49</f>
        <v>구조</v>
      </c>
      <c r="C65" s="415" t="str">
        <f t="shared" ref="C65" si="4">C49</f>
        <v>B엔지니어링</v>
      </c>
      <c r="D65" s="242" t="s">
        <v>6</v>
      </c>
      <c r="E65" s="107" t="str">
        <f>입력!E17</f>
        <v>홍길동4</v>
      </c>
    </row>
    <row r="66" spans="1:6" s="19" customFormat="1" ht="50.1" customHeight="1">
      <c r="A66" s="416"/>
      <c r="B66" s="435"/>
      <c r="C66" s="420"/>
      <c r="D66" s="242" t="s">
        <v>37</v>
      </c>
      <c r="E66" s="159">
        <f>입력!H17</f>
        <v>19.18</v>
      </c>
    </row>
    <row r="67" spans="1:6" s="19" customFormat="1" ht="50.1" customHeight="1">
      <c r="A67" s="417"/>
      <c r="B67" s="436"/>
      <c r="C67" s="421"/>
      <c r="D67" s="242" t="s">
        <v>0</v>
      </c>
      <c r="E67" s="106">
        <f>(IF(E66&gt;=7,8,IF(E66&gt;=6,7.2,IF(E66&gt;=5,6.4,IF(E66&gt;=4,5.6,IF(E66&lt;4,4.8))))))</f>
        <v>8</v>
      </c>
    </row>
    <row r="68" spans="1:6" ht="50.1" customHeight="1">
      <c r="A68" s="415" t="s">
        <v>293</v>
      </c>
      <c r="B68" s="415" t="str">
        <f>B52</f>
        <v>수질관리</v>
      </c>
      <c r="C68" s="415" t="str">
        <f t="shared" ref="C68" si="5">C52</f>
        <v>B엔지니어링</v>
      </c>
      <c r="D68" s="242" t="s">
        <v>6</v>
      </c>
      <c r="E68" s="107" t="str">
        <f>입력!E18</f>
        <v>홍길동5</v>
      </c>
    </row>
    <row r="69" spans="1:6" s="19" customFormat="1" ht="50.1" customHeight="1">
      <c r="A69" s="416"/>
      <c r="B69" s="435"/>
      <c r="C69" s="420"/>
      <c r="D69" s="242" t="s">
        <v>37</v>
      </c>
      <c r="E69" s="159">
        <f>입력!H18</f>
        <v>11.85</v>
      </c>
    </row>
    <row r="70" spans="1:6" ht="50.1" customHeight="1">
      <c r="A70" s="417"/>
      <c r="B70" s="436"/>
      <c r="C70" s="421"/>
      <c r="D70" s="29" t="s">
        <v>0</v>
      </c>
      <c r="E70" s="106">
        <f>(IF(E69&gt;=7,8,IF(E69&gt;=6,7.2,IF(E69&gt;=5,6.4,IF(E69&gt;=4,5.6,IF(E69&lt;4,4.8))))))</f>
        <v>8</v>
      </c>
    </row>
    <row r="71" spans="1:6" ht="35.1" customHeight="1">
      <c r="A71" s="418" t="s">
        <v>29</v>
      </c>
      <c r="B71" s="419"/>
      <c r="C71" s="252"/>
      <c r="D71" s="22">
        <v>4</v>
      </c>
      <c r="E71" s="15">
        <f>SUM(E61,E64,E67,E70)/$D$71</f>
        <v>8</v>
      </c>
    </row>
    <row r="72" spans="1:6" s="19" customFormat="1" ht="16.5" customHeight="1">
      <c r="A72" s="30"/>
      <c r="B72" s="30"/>
      <c r="C72" s="30"/>
      <c r="D72" s="30"/>
      <c r="E72" s="31"/>
    </row>
    <row r="73" spans="1:6" s="79" customFormat="1" ht="24.95" customHeight="1">
      <c r="A73" s="236" t="s">
        <v>80</v>
      </c>
      <c r="B73" s="236"/>
      <c r="C73" s="236"/>
      <c r="D73" s="236"/>
      <c r="E73" s="236"/>
      <c r="F73" s="76"/>
    </row>
    <row r="74" spans="1:6" s="20" customFormat="1" ht="24.95" customHeight="1">
      <c r="A74" s="235" t="s">
        <v>72</v>
      </c>
      <c r="B74" s="235"/>
      <c r="C74" s="255"/>
      <c r="D74" s="235"/>
      <c r="E74" s="235"/>
      <c r="F74" s="180"/>
    </row>
    <row r="75" spans="1:6" s="76" customFormat="1" ht="54.95" customHeight="1">
      <c r="A75" s="422" t="str">
        <f>$A$7</f>
        <v xml:space="preserve">                                                        회  사  별
  구    분</v>
      </c>
      <c r="B75" s="423"/>
      <c r="C75" s="423"/>
      <c r="D75" s="424"/>
      <c r="E75" s="80" t="str">
        <f>E$7</f>
        <v>A엔지니어링, B엔지니어링, C엔지니어링, D엔지니어링, E엔지니어링</v>
      </c>
    </row>
    <row r="76" spans="1:6" s="19" customFormat="1" ht="50.1" customHeight="1">
      <c r="A76" s="415" t="s">
        <v>294</v>
      </c>
      <c r="B76" s="415" t="str">
        <f>B59</f>
        <v>수자원</v>
      </c>
      <c r="C76" s="415" t="str">
        <f>입력!D19</f>
        <v>A엔지니어링</v>
      </c>
      <c r="D76" s="21" t="s">
        <v>6</v>
      </c>
      <c r="E76" s="157" t="str">
        <f>입력!E19</f>
        <v>홍길동6</v>
      </c>
      <c r="F76" s="179"/>
    </row>
    <row r="77" spans="1:6" s="19" customFormat="1" ht="50.1" customHeight="1">
      <c r="A77" s="416"/>
      <c r="B77" s="420"/>
      <c r="C77" s="420"/>
      <c r="D77" s="21" t="s">
        <v>27</v>
      </c>
      <c r="E77" s="160" t="str">
        <f>입력!F19</f>
        <v>중급</v>
      </c>
      <c r="F77" s="179"/>
    </row>
    <row r="78" spans="1:6" ht="50.1" customHeight="1">
      <c r="A78" s="417"/>
      <c r="B78" s="421"/>
      <c r="C78" s="421"/>
      <c r="D78" s="21" t="s">
        <v>0</v>
      </c>
      <c r="E78" s="106">
        <f>(IF(E77="특급",4,IF(E77="고급",4,IF(E77="중급",4,IF(E77="초급",2)))))</f>
        <v>4</v>
      </c>
    </row>
    <row r="79" spans="1:6" s="19" customFormat="1" ht="50.1" customHeight="1">
      <c r="A79" s="415" t="s">
        <v>294</v>
      </c>
      <c r="B79" s="415" t="str">
        <f>B62</f>
        <v>토질</v>
      </c>
      <c r="C79" s="415" t="str">
        <f>입력!D20</f>
        <v>B엔지니어링</v>
      </c>
      <c r="D79" s="21" t="s">
        <v>6</v>
      </c>
      <c r="E79" s="157" t="str">
        <f>입력!E20</f>
        <v>홍길동7</v>
      </c>
      <c r="F79" s="179"/>
    </row>
    <row r="80" spans="1:6" s="19" customFormat="1" ht="50.1" customHeight="1">
      <c r="A80" s="416"/>
      <c r="B80" s="420"/>
      <c r="C80" s="420"/>
      <c r="D80" s="21" t="s">
        <v>27</v>
      </c>
      <c r="E80" s="160" t="str">
        <f>입력!F20</f>
        <v>특급</v>
      </c>
      <c r="F80" s="179"/>
    </row>
    <row r="81" spans="1:6" s="19" customFormat="1" ht="50.1" customHeight="1">
      <c r="A81" s="417"/>
      <c r="B81" s="421"/>
      <c r="C81" s="421"/>
      <c r="D81" s="21" t="s">
        <v>0</v>
      </c>
      <c r="E81" s="106">
        <f>(IF(E80="특급",4,IF(E80="고급",4,IF(E80="중급",4,IF(E80="초급",2)))))</f>
        <v>4</v>
      </c>
    </row>
    <row r="82" spans="1:6" s="19" customFormat="1" ht="50.1" customHeight="1">
      <c r="A82" s="415" t="s">
        <v>294</v>
      </c>
      <c r="B82" s="415" t="str">
        <f>B65</f>
        <v>구조</v>
      </c>
      <c r="C82" s="415" t="str">
        <f>입력!D21</f>
        <v>A엔지니어링</v>
      </c>
      <c r="D82" s="242" t="s">
        <v>6</v>
      </c>
      <c r="E82" s="157" t="str">
        <f>입력!E21</f>
        <v>홍길동8</v>
      </c>
      <c r="F82" s="179"/>
    </row>
    <row r="83" spans="1:6" s="19" customFormat="1" ht="50.1" customHeight="1">
      <c r="A83" s="416"/>
      <c r="B83" s="420"/>
      <c r="C83" s="420"/>
      <c r="D83" s="242" t="s">
        <v>27</v>
      </c>
      <c r="E83" s="160" t="str">
        <f>입력!F21</f>
        <v>특급</v>
      </c>
      <c r="F83" s="179"/>
    </row>
    <row r="84" spans="1:6" ht="50.1" customHeight="1">
      <c r="A84" s="417"/>
      <c r="B84" s="421"/>
      <c r="C84" s="421"/>
      <c r="D84" s="21" t="s">
        <v>0</v>
      </c>
      <c r="E84" s="106">
        <f>(IF(E83="특급",4,IF(E83="고급",4,IF(E83="중급",4,IF(E83="초급",2)))))</f>
        <v>4</v>
      </c>
    </row>
    <row r="85" spans="1:6" s="19" customFormat="1" ht="50.1" customHeight="1">
      <c r="A85" s="415" t="s">
        <v>294</v>
      </c>
      <c r="B85" s="415" t="str">
        <f>B68</f>
        <v>수질관리</v>
      </c>
      <c r="C85" s="415" t="str">
        <f>입력!D22</f>
        <v>A엔지니어링</v>
      </c>
      <c r="D85" s="242" t="s">
        <v>6</v>
      </c>
      <c r="E85" s="157" t="str">
        <f>입력!E22</f>
        <v>홍길동9</v>
      </c>
      <c r="F85" s="179"/>
    </row>
    <row r="86" spans="1:6" s="19" customFormat="1" ht="50.1" customHeight="1">
      <c r="A86" s="416"/>
      <c r="B86" s="420"/>
      <c r="C86" s="420"/>
      <c r="D86" s="242" t="s">
        <v>27</v>
      </c>
      <c r="E86" s="160" t="str">
        <f>입력!F22</f>
        <v>특급</v>
      </c>
      <c r="F86" s="179"/>
    </row>
    <row r="87" spans="1:6" s="19" customFormat="1" ht="50.1" customHeight="1">
      <c r="A87" s="417"/>
      <c r="B87" s="421"/>
      <c r="C87" s="421"/>
      <c r="D87" s="21" t="s">
        <v>0</v>
      </c>
      <c r="E87" s="106">
        <f>(IF(E86="특급",4,IF(E86="고급",4,IF(E86="중급",4,IF(E86="초급",2)))))</f>
        <v>4</v>
      </c>
    </row>
    <row r="88" spans="1:6" ht="35.1" customHeight="1">
      <c r="A88" s="418" t="s">
        <v>29</v>
      </c>
      <c r="B88" s="419"/>
      <c r="C88" s="252"/>
      <c r="D88" s="22">
        <v>4</v>
      </c>
      <c r="E88" s="15">
        <f>SUM(E78,E81,E84,E87)/$D$88</f>
        <v>4</v>
      </c>
    </row>
    <row r="89" spans="1:6" ht="9.9499999999999993" customHeight="1">
      <c r="A89" s="16"/>
      <c r="B89" s="16"/>
      <c r="C89" s="16"/>
      <c r="D89" s="16"/>
      <c r="E89" s="104"/>
    </row>
    <row r="90" spans="1:6" s="12" customFormat="1" ht="24.95" customHeight="1">
      <c r="A90" s="237" t="s">
        <v>73</v>
      </c>
      <c r="B90" s="237"/>
      <c r="C90" s="237"/>
      <c r="D90" s="237"/>
      <c r="E90" s="237"/>
      <c r="F90" s="11"/>
    </row>
    <row r="91" spans="1:6" s="76" customFormat="1" ht="54.95" customHeight="1">
      <c r="A91" s="422" t="str">
        <f>$A$7</f>
        <v xml:space="preserve">                                                        회  사  별
  구    분</v>
      </c>
      <c r="B91" s="423"/>
      <c r="C91" s="423"/>
      <c r="D91" s="424"/>
      <c r="E91" s="80" t="str">
        <f>E$7</f>
        <v>A엔지니어링, B엔지니어링, C엔지니어링, D엔지니어링, E엔지니어링</v>
      </c>
    </row>
    <row r="92" spans="1:6" ht="39.950000000000003" customHeight="1">
      <c r="A92" s="415" t="s">
        <v>295</v>
      </c>
      <c r="B92" s="415" t="str">
        <f>B27</f>
        <v>수자원</v>
      </c>
      <c r="C92" s="415" t="str">
        <f>C76</f>
        <v>A엔지니어링</v>
      </c>
      <c r="D92" s="242" t="s">
        <v>6</v>
      </c>
      <c r="E92" s="244" t="str">
        <f>입력!E19</f>
        <v>홍길동6</v>
      </c>
    </row>
    <row r="93" spans="1:6" s="19" customFormat="1" ht="39.950000000000003" customHeight="1">
      <c r="A93" s="420"/>
      <c r="B93" s="420"/>
      <c r="C93" s="420"/>
      <c r="D93" s="25" t="s">
        <v>28</v>
      </c>
      <c r="E93" s="158">
        <f>입력!G19</f>
        <v>1948</v>
      </c>
    </row>
    <row r="94" spans="1:6" ht="39.950000000000003" customHeight="1">
      <c r="A94" s="421"/>
      <c r="B94" s="421"/>
      <c r="C94" s="421"/>
      <c r="D94" s="242" t="s">
        <v>0</v>
      </c>
      <c r="E94" s="106">
        <f>(IF(E93&gt;=1825,5,IF(E93&gt;=1642.5,4.5,IF(E93&gt;=1460,4,IF(E93&gt;=1277.5,3.5,IF(E93&lt;1277.5,3))))))</f>
        <v>5</v>
      </c>
    </row>
    <row r="95" spans="1:6" s="19" customFormat="1" ht="39.950000000000003" customHeight="1">
      <c r="A95" s="415" t="s">
        <v>295</v>
      </c>
      <c r="B95" s="415" t="str">
        <f>B79</f>
        <v>토질</v>
      </c>
      <c r="C95" s="415" t="str">
        <f t="shared" ref="C95" si="6">C79</f>
        <v>B엔지니어링</v>
      </c>
      <c r="D95" s="240" t="s">
        <v>6</v>
      </c>
      <c r="E95" s="244" t="str">
        <f>입력!E20</f>
        <v>홍길동7</v>
      </c>
    </row>
    <row r="96" spans="1:6" s="19" customFormat="1" ht="39.950000000000003" customHeight="1">
      <c r="A96" s="420"/>
      <c r="B96" s="420"/>
      <c r="C96" s="420"/>
      <c r="D96" s="25" t="s">
        <v>28</v>
      </c>
      <c r="E96" s="158">
        <f>입력!G20</f>
        <v>12632</v>
      </c>
    </row>
    <row r="97" spans="1:6" s="19" customFormat="1" ht="39.950000000000003" customHeight="1">
      <c r="A97" s="421"/>
      <c r="B97" s="421"/>
      <c r="C97" s="421"/>
      <c r="D97" s="21" t="s">
        <v>0</v>
      </c>
      <c r="E97" s="106">
        <f>(IF(E96&gt;=1825,5,IF(E96&gt;=1642.5,4.5,IF(E96&gt;=1460,4,IF(E96&gt;=1277.5,3.5,IF(E96&lt;1277.5,3))))))</f>
        <v>5</v>
      </c>
    </row>
    <row r="98" spans="1:6" ht="39.950000000000003" customHeight="1">
      <c r="A98" s="415" t="s">
        <v>295</v>
      </c>
      <c r="B98" s="415" t="str">
        <f>B82</f>
        <v>구조</v>
      </c>
      <c r="C98" s="415" t="str">
        <f t="shared" ref="C98" si="7">C82</f>
        <v>A엔지니어링</v>
      </c>
      <c r="D98" s="242" t="s">
        <v>6</v>
      </c>
      <c r="E98" s="244" t="str">
        <f>입력!E21</f>
        <v>홍길동8</v>
      </c>
    </row>
    <row r="99" spans="1:6" s="19" customFormat="1" ht="39.950000000000003" customHeight="1">
      <c r="A99" s="420"/>
      <c r="B99" s="420"/>
      <c r="C99" s="420"/>
      <c r="D99" s="25" t="s">
        <v>28</v>
      </c>
      <c r="E99" s="158">
        <f>입력!G21</f>
        <v>10714</v>
      </c>
    </row>
    <row r="100" spans="1:6" ht="39.950000000000003" customHeight="1">
      <c r="A100" s="421"/>
      <c r="B100" s="421"/>
      <c r="C100" s="421"/>
      <c r="D100" s="242" t="s">
        <v>0</v>
      </c>
      <c r="E100" s="106">
        <f>(IF(E99&gt;=1825,5,IF(E99&gt;=1642.5,4.5,IF(E99&gt;=1460,4,IF(E99&gt;=1277.5,3.5,IF(E99&lt;1277.5,3))))))</f>
        <v>5</v>
      </c>
    </row>
    <row r="101" spans="1:6" s="19" customFormat="1" ht="39.950000000000003" customHeight="1">
      <c r="A101" s="415" t="s">
        <v>295</v>
      </c>
      <c r="B101" s="415" t="str">
        <f>B85</f>
        <v>수질관리</v>
      </c>
      <c r="C101" s="415" t="str">
        <f t="shared" ref="C101" si="8">C85</f>
        <v>A엔지니어링</v>
      </c>
      <c r="D101" s="242" t="s">
        <v>6</v>
      </c>
      <c r="E101" s="244" t="str">
        <f>입력!E22</f>
        <v>홍길동9</v>
      </c>
    </row>
    <row r="102" spans="1:6" s="19" customFormat="1" ht="39.950000000000003" customHeight="1">
      <c r="A102" s="420"/>
      <c r="B102" s="420"/>
      <c r="C102" s="420"/>
      <c r="D102" s="25" t="s">
        <v>28</v>
      </c>
      <c r="E102" s="158">
        <f>입력!G22</f>
        <v>6331</v>
      </c>
    </row>
    <row r="103" spans="1:6" s="19" customFormat="1" ht="39.950000000000003" customHeight="1">
      <c r="A103" s="421"/>
      <c r="B103" s="421"/>
      <c r="C103" s="421"/>
      <c r="D103" s="242" t="s">
        <v>0</v>
      </c>
      <c r="E103" s="106">
        <f>(IF(E102&gt;=1825,5,IF(E102&gt;=1642.5,4.5,IF(E102&gt;=1460,4,IF(E102&gt;=1277.5,3.5,IF(E102&lt;1277.5,3))))))</f>
        <v>5</v>
      </c>
    </row>
    <row r="104" spans="1:6" ht="27.95" customHeight="1">
      <c r="A104" s="418" t="s">
        <v>29</v>
      </c>
      <c r="B104" s="419"/>
      <c r="C104" s="252"/>
      <c r="D104" s="22">
        <v>4</v>
      </c>
      <c r="E104" s="15">
        <f>SUM(E94,E97,E100,E103)/$D$104</f>
        <v>5</v>
      </c>
    </row>
    <row r="105" spans="1:6" ht="9.9499999999999993" customHeight="1">
      <c r="A105" s="16"/>
      <c r="B105" s="16"/>
      <c r="C105" s="16"/>
      <c r="D105" s="16"/>
      <c r="E105" s="104"/>
    </row>
    <row r="106" spans="1:6" s="12" customFormat="1" ht="24.95" customHeight="1">
      <c r="A106" s="237" t="s">
        <v>67</v>
      </c>
      <c r="B106" s="237"/>
      <c r="C106" s="237"/>
      <c r="D106" s="237"/>
      <c r="E106" s="241"/>
      <c r="F106" s="11"/>
    </row>
    <row r="107" spans="1:6" s="76" customFormat="1" ht="54.95" customHeight="1">
      <c r="A107" s="422" t="str">
        <f>$A$7</f>
        <v xml:space="preserve">                                                        회  사  별
  구    분</v>
      </c>
      <c r="B107" s="423"/>
      <c r="C107" s="423"/>
      <c r="D107" s="424"/>
      <c r="E107" s="80" t="str">
        <f>E$7</f>
        <v>A엔지니어링, B엔지니어링, C엔지니어링, D엔지니어링, E엔지니어링</v>
      </c>
      <c r="F107" s="77"/>
    </row>
    <row r="108" spans="1:6" ht="50.1" customHeight="1">
      <c r="A108" s="415" t="s">
        <v>74</v>
      </c>
      <c r="B108" s="415" t="str">
        <f>B92</f>
        <v>수자원</v>
      </c>
      <c r="C108" s="415" t="str">
        <f>C92</f>
        <v>A엔지니어링</v>
      </c>
      <c r="D108" s="242" t="s">
        <v>6</v>
      </c>
      <c r="E108" s="244" t="str">
        <f>입력!E19</f>
        <v>홍길동6</v>
      </c>
      <c r="F108" s="32"/>
    </row>
    <row r="109" spans="1:6" s="19" customFormat="1" ht="50.1" customHeight="1">
      <c r="A109" s="416"/>
      <c r="B109" s="420"/>
      <c r="C109" s="420"/>
      <c r="D109" s="242" t="s">
        <v>37</v>
      </c>
      <c r="E109" s="159">
        <f>입력!H19</f>
        <v>13</v>
      </c>
      <c r="F109" s="33"/>
    </row>
    <row r="110" spans="1:6" ht="50.1" customHeight="1">
      <c r="A110" s="417"/>
      <c r="B110" s="421"/>
      <c r="C110" s="421"/>
      <c r="D110" s="29" t="s">
        <v>0</v>
      </c>
      <c r="E110" s="107">
        <f>(IF(E109&gt;=5,5,IF(E109&gt;=4,4.5,IF(E109&gt;=3,4,IF(E109&gt;=2,3.5,IF(E109&lt;2,3))))))</f>
        <v>5</v>
      </c>
      <c r="F110" s="32"/>
    </row>
    <row r="111" spans="1:6" s="19" customFormat="1" ht="50.1" customHeight="1">
      <c r="A111" s="415" t="s">
        <v>74</v>
      </c>
      <c r="B111" s="415" t="str">
        <f>B95</f>
        <v>토질</v>
      </c>
      <c r="C111" s="415" t="str">
        <f t="shared" ref="C111" si="9">C95</f>
        <v>B엔지니어링</v>
      </c>
      <c r="D111" s="242" t="s">
        <v>6</v>
      </c>
      <c r="E111" s="244" t="str">
        <f>입력!E20</f>
        <v>홍길동7</v>
      </c>
      <c r="F111" s="33"/>
    </row>
    <row r="112" spans="1:6" s="19" customFormat="1" ht="50.1" customHeight="1">
      <c r="A112" s="416"/>
      <c r="B112" s="420"/>
      <c r="C112" s="420"/>
      <c r="D112" s="242" t="s">
        <v>37</v>
      </c>
      <c r="E112" s="159">
        <f>입력!H20</f>
        <v>11.43</v>
      </c>
      <c r="F112" s="33"/>
    </row>
    <row r="113" spans="1:6" s="19" customFormat="1" ht="50.1" customHeight="1">
      <c r="A113" s="417"/>
      <c r="B113" s="421"/>
      <c r="C113" s="421"/>
      <c r="D113" s="242" t="s">
        <v>0</v>
      </c>
      <c r="E113" s="107">
        <f>(IF(E112&gt;=5,5,IF(E112&gt;=4,4.5,IF(E112&gt;=3,4,IF(E112&gt;=2,3.5,IF(E112&lt;2,3))))))</f>
        <v>5</v>
      </c>
      <c r="F113" s="33"/>
    </row>
    <row r="114" spans="1:6" ht="50.1" customHeight="1">
      <c r="A114" s="415" t="s">
        <v>74</v>
      </c>
      <c r="B114" s="415" t="str">
        <f>B98</f>
        <v>구조</v>
      </c>
      <c r="C114" s="415" t="str">
        <f t="shared" ref="C114" si="10">C98</f>
        <v>A엔지니어링</v>
      </c>
      <c r="D114" s="242" t="s">
        <v>6</v>
      </c>
      <c r="E114" s="244" t="str">
        <f>입력!E21</f>
        <v>홍길동8</v>
      </c>
      <c r="F114" s="32"/>
    </row>
    <row r="115" spans="1:6" s="19" customFormat="1" ht="50.1" customHeight="1">
      <c r="A115" s="416"/>
      <c r="B115" s="420"/>
      <c r="C115" s="420"/>
      <c r="D115" s="242" t="s">
        <v>37</v>
      </c>
      <c r="E115" s="159">
        <f>입력!H21</f>
        <v>6.64</v>
      </c>
      <c r="F115" s="33"/>
    </row>
    <row r="116" spans="1:6" ht="50.1" customHeight="1">
      <c r="A116" s="417"/>
      <c r="B116" s="421"/>
      <c r="C116" s="421"/>
      <c r="D116" s="29" t="s">
        <v>0</v>
      </c>
      <c r="E116" s="107">
        <f>(IF(E115&gt;=5,5,IF(E115&gt;=4,4.5,IF(E115&gt;=3,4,IF(E115&gt;=2,3.5,IF(E115&lt;2,3))))))</f>
        <v>5</v>
      </c>
      <c r="F116" s="32"/>
    </row>
    <row r="117" spans="1:6" s="19" customFormat="1" ht="50.1" customHeight="1">
      <c r="A117" s="415" t="s">
        <v>74</v>
      </c>
      <c r="B117" s="415" t="str">
        <f>B101</f>
        <v>수질관리</v>
      </c>
      <c r="C117" s="415" t="str">
        <f t="shared" ref="C117" si="11">C101</f>
        <v>A엔지니어링</v>
      </c>
      <c r="D117" s="242" t="s">
        <v>6</v>
      </c>
      <c r="E117" s="244" t="str">
        <f>입력!E22</f>
        <v>홍길동9</v>
      </c>
      <c r="F117" s="33"/>
    </row>
    <row r="118" spans="1:6" s="19" customFormat="1" ht="50.1" customHeight="1">
      <c r="A118" s="416"/>
      <c r="B118" s="420"/>
      <c r="C118" s="420"/>
      <c r="D118" s="242" t="s">
        <v>37</v>
      </c>
      <c r="E118" s="159">
        <f>입력!H22</f>
        <v>10.89</v>
      </c>
      <c r="F118" s="33"/>
    </row>
    <row r="119" spans="1:6" s="19" customFormat="1" ht="50.1" customHeight="1">
      <c r="A119" s="417"/>
      <c r="B119" s="421"/>
      <c r="C119" s="421"/>
      <c r="D119" s="242" t="s">
        <v>0</v>
      </c>
      <c r="E119" s="107">
        <f>(IF(E118&gt;=5,5,IF(E118&gt;=4,4.5,IF(E118&gt;=3,4,IF(E118&gt;=2,3.5,IF(E118&lt;2,3))))))</f>
        <v>5</v>
      </c>
      <c r="F119" s="33"/>
    </row>
    <row r="120" spans="1:6" ht="35.1" customHeight="1">
      <c r="A120" s="418" t="s">
        <v>29</v>
      </c>
      <c r="B120" s="419"/>
      <c r="C120" s="252"/>
      <c r="D120" s="22">
        <v>4</v>
      </c>
      <c r="E120" s="15">
        <f>SUM(E110,E113,E116,E119)/$D$120</f>
        <v>5</v>
      </c>
    </row>
    <row r="121" spans="1:6" ht="14.25" customHeight="1">
      <c r="A121" s="34"/>
      <c r="B121" s="34"/>
      <c r="C121" s="34"/>
      <c r="D121" s="34"/>
      <c r="E121" s="35"/>
    </row>
    <row r="122" spans="1:6" s="79" customFormat="1" ht="24.95" customHeight="1">
      <c r="A122" s="236" t="s">
        <v>81</v>
      </c>
      <c r="B122" s="85"/>
      <c r="C122" s="85"/>
      <c r="D122" s="85"/>
      <c r="E122" s="85"/>
      <c r="F122" s="76"/>
    </row>
    <row r="123" spans="1:6" s="20" customFormat="1" ht="24.95" customHeight="1">
      <c r="A123" s="235" t="s">
        <v>368</v>
      </c>
      <c r="B123" s="235"/>
      <c r="C123" s="255"/>
      <c r="D123" s="235"/>
      <c r="E123" s="235"/>
      <c r="F123" s="180"/>
    </row>
    <row r="124" spans="1:6" s="76" customFormat="1" ht="54.95" customHeight="1">
      <c r="A124" s="422" t="str">
        <f>$A$7</f>
        <v xml:space="preserve">                                                        회  사  별
  구    분</v>
      </c>
      <c r="B124" s="423"/>
      <c r="C124" s="423"/>
      <c r="D124" s="424"/>
      <c r="E124" s="80" t="str">
        <f>E$7</f>
        <v>A엔지니어링, B엔지니어링, C엔지니어링, D엔지니어링, E엔지니어링</v>
      </c>
    </row>
    <row r="125" spans="1:6" ht="39.950000000000003" customHeight="1">
      <c r="A125" s="415" t="s">
        <v>164</v>
      </c>
      <c r="B125" s="432" t="s">
        <v>165</v>
      </c>
      <c r="C125" s="432" t="str">
        <f>C8</f>
        <v>A엔지니어링</v>
      </c>
      <c r="D125" s="242" t="s">
        <v>142</v>
      </c>
      <c r="E125" s="244" t="str">
        <f>입력!E14</f>
        <v>홍길동1</v>
      </c>
    </row>
    <row r="126" spans="1:6" s="19" customFormat="1" ht="39.950000000000003" customHeight="1">
      <c r="A126" s="420"/>
      <c r="B126" s="433"/>
      <c r="C126" s="433"/>
      <c r="D126" s="242" t="s">
        <v>166</v>
      </c>
      <c r="E126" s="161">
        <f>입력!I14</f>
        <v>2</v>
      </c>
    </row>
    <row r="127" spans="1:6" ht="39.950000000000003" customHeight="1">
      <c r="A127" s="420"/>
      <c r="B127" s="434"/>
      <c r="C127" s="434"/>
      <c r="D127" s="242" t="s">
        <v>143</v>
      </c>
      <c r="E127" s="108">
        <f>IF(E126&gt;=2,2,IF(E126=1,1,IF(E126=0,0)))</f>
        <v>2</v>
      </c>
    </row>
    <row r="128" spans="1:6" ht="39.950000000000003" customHeight="1">
      <c r="A128" s="420"/>
      <c r="B128" s="429" t="s">
        <v>144</v>
      </c>
      <c r="C128" s="430"/>
      <c r="D128" s="431"/>
      <c r="E128" s="238"/>
    </row>
    <row r="129" spans="1:5" ht="39.950000000000003" customHeight="1">
      <c r="A129" s="420"/>
      <c r="B129" s="415" t="str">
        <f>B27</f>
        <v>수자원</v>
      </c>
      <c r="C129" s="415" t="str">
        <f>C27</f>
        <v>A엔지니어링</v>
      </c>
      <c r="D129" s="242" t="s">
        <v>142</v>
      </c>
      <c r="E129" s="109" t="str">
        <f>입력!E15</f>
        <v>홍길동2</v>
      </c>
    </row>
    <row r="130" spans="1:5" s="19" customFormat="1" ht="39.950000000000003" customHeight="1">
      <c r="A130" s="420"/>
      <c r="B130" s="420"/>
      <c r="C130" s="420"/>
      <c r="D130" s="242" t="s">
        <v>166</v>
      </c>
      <c r="E130" s="161">
        <f>입력!I15</f>
        <v>2</v>
      </c>
    </row>
    <row r="131" spans="1:5" ht="39.950000000000003" customHeight="1">
      <c r="A131" s="420"/>
      <c r="B131" s="421"/>
      <c r="C131" s="421"/>
      <c r="D131" s="242" t="s">
        <v>143</v>
      </c>
      <c r="E131" s="108">
        <f>IF(E130&gt;=2,2,IF(E130=1,1,IF(E130=0,0)))</f>
        <v>2</v>
      </c>
    </row>
    <row r="132" spans="1:5" ht="39.950000000000003" customHeight="1">
      <c r="A132" s="420"/>
      <c r="B132" s="415" t="str">
        <f>B111</f>
        <v>토질</v>
      </c>
      <c r="C132" s="415" t="str">
        <f t="shared" ref="C132" si="12">C30</f>
        <v>A엔지니어링</v>
      </c>
      <c r="D132" s="242" t="s">
        <v>142</v>
      </c>
      <c r="E132" s="244" t="str">
        <f>입력!E16</f>
        <v>홍길동3</v>
      </c>
    </row>
    <row r="133" spans="1:5" s="19" customFormat="1" ht="39.950000000000003" customHeight="1">
      <c r="A133" s="420"/>
      <c r="B133" s="420"/>
      <c r="C133" s="420"/>
      <c r="D133" s="242" t="s">
        <v>166</v>
      </c>
      <c r="E133" s="161">
        <f>입력!I16</f>
        <v>2</v>
      </c>
    </row>
    <row r="134" spans="1:5" ht="39.950000000000003" customHeight="1">
      <c r="A134" s="420"/>
      <c r="B134" s="421"/>
      <c r="C134" s="421"/>
      <c r="D134" s="242" t="s">
        <v>143</v>
      </c>
      <c r="E134" s="107">
        <f>IF(E133&gt;=2,2,IF(E133=1,1,IF(E133=0,0)))</f>
        <v>2</v>
      </c>
    </row>
    <row r="135" spans="1:5" ht="39.950000000000003" customHeight="1">
      <c r="A135" s="420"/>
      <c r="B135" s="415" t="str">
        <f>B114</f>
        <v>구조</v>
      </c>
      <c r="C135" s="415" t="str">
        <f t="shared" ref="C135" si="13">C33</f>
        <v>B엔지니어링</v>
      </c>
      <c r="D135" s="242" t="s">
        <v>142</v>
      </c>
      <c r="E135" s="244" t="str">
        <f>입력!E17</f>
        <v>홍길동4</v>
      </c>
    </row>
    <row r="136" spans="1:5" s="19" customFormat="1" ht="39.950000000000003" customHeight="1">
      <c r="A136" s="420"/>
      <c r="B136" s="420"/>
      <c r="C136" s="420"/>
      <c r="D136" s="242" t="s">
        <v>166</v>
      </c>
      <c r="E136" s="161">
        <f>입력!I17</f>
        <v>2</v>
      </c>
    </row>
    <row r="137" spans="1:5" ht="39.950000000000003" customHeight="1">
      <c r="A137" s="420"/>
      <c r="B137" s="421"/>
      <c r="C137" s="421"/>
      <c r="D137" s="242" t="s">
        <v>143</v>
      </c>
      <c r="E137" s="107">
        <f>IF(E136&gt;=2,2,IF(E136=1,1,IF(E136=0,0)))</f>
        <v>2</v>
      </c>
    </row>
    <row r="138" spans="1:5" ht="39.950000000000003" customHeight="1">
      <c r="A138" s="420"/>
      <c r="B138" s="415" t="str">
        <f>B117</f>
        <v>수질관리</v>
      </c>
      <c r="C138" s="415" t="str">
        <f t="shared" ref="C138" si="14">C36</f>
        <v>B엔지니어링</v>
      </c>
      <c r="D138" s="242" t="s">
        <v>142</v>
      </c>
      <c r="E138" s="244" t="str">
        <f>입력!E18</f>
        <v>홍길동5</v>
      </c>
    </row>
    <row r="139" spans="1:5" s="19" customFormat="1" ht="39.950000000000003" customHeight="1">
      <c r="A139" s="420"/>
      <c r="B139" s="420"/>
      <c r="C139" s="420"/>
      <c r="D139" s="242" t="s">
        <v>166</v>
      </c>
      <c r="E139" s="161">
        <f>입력!I18</f>
        <v>2</v>
      </c>
    </row>
    <row r="140" spans="1:5" ht="39.950000000000003" customHeight="1">
      <c r="A140" s="421"/>
      <c r="B140" s="421"/>
      <c r="C140" s="421"/>
      <c r="D140" s="242" t="s">
        <v>143</v>
      </c>
      <c r="E140" s="107">
        <f>IF(E139&gt;=2,2,IF(E139=1,1,IF(E139=0,0)))</f>
        <v>2</v>
      </c>
    </row>
    <row r="141" spans="1:5" ht="39.950000000000003" customHeight="1">
      <c r="A141" s="415" t="s">
        <v>167</v>
      </c>
      <c r="B141" s="429" t="s">
        <v>145</v>
      </c>
      <c r="C141" s="430"/>
      <c r="D141" s="451"/>
      <c r="E141" s="238"/>
    </row>
    <row r="142" spans="1:5" ht="39.950000000000003" customHeight="1">
      <c r="A142" s="420"/>
      <c r="B142" s="415" t="str">
        <f>B129</f>
        <v>수자원</v>
      </c>
      <c r="C142" s="415" t="str">
        <f>C76</f>
        <v>A엔지니어링</v>
      </c>
      <c r="D142" s="242" t="s">
        <v>142</v>
      </c>
      <c r="E142" s="244" t="str">
        <f>입력!E19</f>
        <v>홍길동6</v>
      </c>
    </row>
    <row r="143" spans="1:5" s="19" customFormat="1" ht="39.950000000000003" customHeight="1">
      <c r="A143" s="420"/>
      <c r="B143" s="420"/>
      <c r="C143" s="420"/>
      <c r="D143" s="242" t="s">
        <v>166</v>
      </c>
      <c r="E143" s="161">
        <f>입력!I19</f>
        <v>2</v>
      </c>
    </row>
    <row r="144" spans="1:5" ht="39.950000000000003" customHeight="1">
      <c r="A144" s="420"/>
      <c r="B144" s="421"/>
      <c r="C144" s="421"/>
      <c r="D144" s="242" t="s">
        <v>143</v>
      </c>
      <c r="E144" s="108">
        <f>IF(E143&gt;=2,2,IF(E143=1,1,IF(E143=0,0)))</f>
        <v>2</v>
      </c>
    </row>
    <row r="145" spans="1:6" ht="39.950000000000003" customHeight="1">
      <c r="A145" s="420"/>
      <c r="B145" s="415" t="str">
        <f>B132</f>
        <v>토질</v>
      </c>
      <c r="C145" s="415" t="str">
        <f t="shared" ref="C145" si="15">C79</f>
        <v>B엔지니어링</v>
      </c>
      <c r="D145" s="242" t="s">
        <v>142</v>
      </c>
      <c r="E145" s="244" t="str">
        <f>입력!E20</f>
        <v>홍길동7</v>
      </c>
    </row>
    <row r="146" spans="1:6" s="19" customFormat="1" ht="39.950000000000003" customHeight="1">
      <c r="A146" s="420"/>
      <c r="B146" s="420"/>
      <c r="C146" s="420"/>
      <c r="D146" s="242" t="s">
        <v>166</v>
      </c>
      <c r="E146" s="161">
        <f>입력!I20</f>
        <v>2</v>
      </c>
    </row>
    <row r="147" spans="1:6" ht="39.950000000000003" customHeight="1">
      <c r="A147" s="420"/>
      <c r="B147" s="421"/>
      <c r="C147" s="421"/>
      <c r="D147" s="242" t="s">
        <v>143</v>
      </c>
      <c r="E147" s="108">
        <f>IF(E146&gt;=2,2,IF(E146=1,1,IF(E146=0,0)))</f>
        <v>2</v>
      </c>
    </row>
    <row r="148" spans="1:6" ht="39.950000000000003" customHeight="1">
      <c r="A148" s="420"/>
      <c r="B148" s="415" t="str">
        <f>B135</f>
        <v>구조</v>
      </c>
      <c r="C148" s="415" t="str">
        <f t="shared" ref="C148" si="16">C82</f>
        <v>A엔지니어링</v>
      </c>
      <c r="D148" s="242" t="s">
        <v>142</v>
      </c>
      <c r="E148" s="244" t="str">
        <f>입력!E21</f>
        <v>홍길동8</v>
      </c>
    </row>
    <row r="149" spans="1:6" s="19" customFormat="1" ht="39.950000000000003" customHeight="1">
      <c r="A149" s="420"/>
      <c r="B149" s="420"/>
      <c r="C149" s="420"/>
      <c r="D149" s="242" t="s">
        <v>166</v>
      </c>
      <c r="E149" s="161">
        <f>입력!I21</f>
        <v>2</v>
      </c>
    </row>
    <row r="150" spans="1:6" ht="39.950000000000003" customHeight="1">
      <c r="A150" s="420"/>
      <c r="B150" s="421"/>
      <c r="C150" s="421"/>
      <c r="D150" s="242" t="s">
        <v>143</v>
      </c>
      <c r="E150" s="108">
        <f>IF(E149&gt;=2,2,IF(E149=1,1,IF(E149=0,0)))</f>
        <v>2</v>
      </c>
    </row>
    <row r="151" spans="1:6" s="19" customFormat="1" ht="39.950000000000003" customHeight="1">
      <c r="A151" s="420"/>
      <c r="B151" s="415" t="str">
        <f>B138</f>
        <v>수질관리</v>
      </c>
      <c r="C151" s="415" t="str">
        <f t="shared" ref="C151" si="17">C85</f>
        <v>A엔지니어링</v>
      </c>
      <c r="D151" s="242" t="s">
        <v>142</v>
      </c>
      <c r="E151" s="244" t="str">
        <f>입력!E22</f>
        <v>홍길동9</v>
      </c>
    </row>
    <row r="152" spans="1:6" s="19" customFormat="1" ht="39.950000000000003" customHeight="1">
      <c r="A152" s="420"/>
      <c r="B152" s="420"/>
      <c r="C152" s="420"/>
      <c r="D152" s="242" t="s">
        <v>166</v>
      </c>
      <c r="E152" s="161">
        <f>입력!I22</f>
        <v>2</v>
      </c>
    </row>
    <row r="153" spans="1:6" s="19" customFormat="1" ht="39.950000000000003" customHeight="1">
      <c r="A153" s="421"/>
      <c r="B153" s="421"/>
      <c r="C153" s="421"/>
      <c r="D153" s="242" t="s">
        <v>143</v>
      </c>
      <c r="E153" s="108">
        <f>IF(E152&gt;=2,2,IF(E152=1,1,IF(E152=0,0)))</f>
        <v>2</v>
      </c>
    </row>
    <row r="154" spans="1:6" ht="27.95" customHeight="1">
      <c r="A154" s="426" t="s">
        <v>13</v>
      </c>
      <c r="B154" s="427"/>
      <c r="C154" s="427"/>
      <c r="D154" s="428"/>
      <c r="E154" s="36">
        <f>SUM(E127,E131,E134,E137,E140,E144,E147,E150,E153)/9</f>
        <v>2</v>
      </c>
    </row>
    <row r="155" spans="1:6" ht="14.25" customHeight="1">
      <c r="A155" s="34"/>
      <c r="B155" s="34"/>
      <c r="C155" s="34"/>
      <c r="D155" s="34"/>
      <c r="E155" s="35"/>
    </row>
    <row r="156" spans="1:6" s="37" customFormat="1" ht="24.95" customHeight="1">
      <c r="A156" s="247" t="s">
        <v>369</v>
      </c>
      <c r="B156" s="247"/>
      <c r="C156" s="247"/>
      <c r="D156" s="247"/>
      <c r="E156" s="247"/>
      <c r="F156" s="181"/>
    </row>
    <row r="157" spans="1:6" s="76" customFormat="1" ht="54.95" customHeight="1">
      <c r="A157" s="422" t="str">
        <f>$A$7</f>
        <v xml:space="preserve">                                                        회  사  별
  구    분</v>
      </c>
      <c r="B157" s="423"/>
      <c r="C157" s="423"/>
      <c r="D157" s="424"/>
      <c r="E157" s="80" t="str">
        <f>E$7</f>
        <v>A엔지니어링, B엔지니어링, C엔지니어링, D엔지니어링, E엔지니어링</v>
      </c>
    </row>
    <row r="158" spans="1:6" s="19" customFormat="1" ht="90" customHeight="1">
      <c r="A158" s="460" t="s">
        <v>366</v>
      </c>
      <c r="B158" s="461"/>
      <c r="C158" s="462"/>
      <c r="D158" s="25" t="s">
        <v>168</v>
      </c>
      <c r="E158" s="157" t="str">
        <f>입력!J14</f>
        <v>해당없음</v>
      </c>
      <c r="F158" s="179"/>
    </row>
    <row r="159" spans="1:6" s="19" customFormat="1" ht="90" customHeight="1">
      <c r="A159" s="463"/>
      <c r="B159" s="464"/>
      <c r="C159" s="465"/>
      <c r="D159" s="25" t="s">
        <v>169</v>
      </c>
      <c r="E159" s="219" t="str">
        <f>IF(입력!J15="해당없음",IF(입력!J16="해당없음",IF(입력!J17="해당없음",IF(입력!J18="해당없음","해당없음",SUM(입력!J15:J18)),SUM(입력!J15:J18)),SUM(입력!J15:J18)),SUM(입력!J15:J18))</f>
        <v>해당없음</v>
      </c>
      <c r="F159" s="179"/>
    </row>
    <row r="160" spans="1:6" ht="30" customHeight="1">
      <c r="A160" s="418" t="s">
        <v>35</v>
      </c>
      <c r="B160" s="425"/>
      <c r="C160" s="425"/>
      <c r="D160" s="419"/>
      <c r="E160" s="15">
        <f>IF(SUM(E158:E159)&gt;1,1,SUM(E158:E159))</f>
        <v>0</v>
      </c>
    </row>
    <row r="161" spans="1:6" ht="29.25" customHeight="1">
      <c r="A161" s="184"/>
      <c r="B161" s="184"/>
      <c r="C161" s="184"/>
      <c r="D161" s="185"/>
      <c r="E161" s="183" t="s">
        <v>171</v>
      </c>
      <c r="F161" s="179" t="s">
        <v>218</v>
      </c>
    </row>
    <row r="162" spans="1:6" ht="7.5" customHeight="1">
      <c r="A162" s="38"/>
    </row>
    <row r="163" spans="1:6" s="84" customFormat="1" ht="24.95" customHeight="1">
      <c r="A163" s="236" t="s">
        <v>40</v>
      </c>
      <c r="B163" s="83"/>
      <c r="C163" s="83"/>
      <c r="D163" s="83"/>
      <c r="E163" s="248"/>
      <c r="F163" s="182"/>
    </row>
    <row r="164" spans="1:6" s="76" customFormat="1" ht="54.95" customHeight="1">
      <c r="A164" s="422" t="str">
        <f>$A$7</f>
        <v xml:space="preserve">                                                        회  사  별
  구    분</v>
      </c>
      <c r="B164" s="423"/>
      <c r="C164" s="423"/>
      <c r="D164" s="424"/>
      <c r="E164" s="80" t="str">
        <f>E$7</f>
        <v>A엔지니어링, B엔지니어링, C엔지니어링, D엔지니어링, E엔지니어링</v>
      </c>
    </row>
    <row r="165" spans="1:6" s="19" customFormat="1" ht="90" customHeight="1">
      <c r="A165" s="457" t="s">
        <v>296</v>
      </c>
      <c r="B165" s="458"/>
      <c r="C165" s="459"/>
      <c r="D165" s="25" t="s">
        <v>170</v>
      </c>
      <c r="E165" s="220" t="str">
        <f>IF(SUM(입력!K14:K22)=0,"해당없음",SUM(입력!K14:K22))</f>
        <v>해당없음</v>
      </c>
      <c r="F165" s="179"/>
    </row>
  </sheetData>
  <sheetProtection algorithmName="SHA-512" hashValue="fE1ADuLqQOyXqjtuiAJTel3D5XcY+xMoKdY+EgHDaoIj1/BhrikBIHJKLaoO/otjzI7FhW7FHWmhgRKLaXlS8g==" saltValue="qmJS6Q5wrmgsItmTz1LoNA==" spinCount="100000" sheet="1" objects="1" scenarios="1"/>
  <mergeCells count="127">
    <mergeCell ref="A165:C165"/>
    <mergeCell ref="C142:C144"/>
    <mergeCell ref="C145:C147"/>
    <mergeCell ref="C148:C150"/>
    <mergeCell ref="C151:C153"/>
    <mergeCell ref="A158:C159"/>
    <mergeCell ref="C125:C127"/>
    <mergeCell ref="C129:C131"/>
    <mergeCell ref="C132:C134"/>
    <mergeCell ref="C135:C137"/>
    <mergeCell ref="C138:C140"/>
    <mergeCell ref="C36:C38"/>
    <mergeCell ref="C43:C45"/>
    <mergeCell ref="C46:C48"/>
    <mergeCell ref="C14:C15"/>
    <mergeCell ref="C8:C9"/>
    <mergeCell ref="C20:C21"/>
    <mergeCell ref="C27:C29"/>
    <mergeCell ref="C101:C103"/>
    <mergeCell ref="C108:C110"/>
    <mergeCell ref="C82:C84"/>
    <mergeCell ref="C85:C87"/>
    <mergeCell ref="C92:C94"/>
    <mergeCell ref="C95:C97"/>
    <mergeCell ref="C98:C100"/>
    <mergeCell ref="A1:E1"/>
    <mergeCell ref="F7:J7"/>
    <mergeCell ref="A114:A116"/>
    <mergeCell ref="A107:D107"/>
    <mergeCell ref="A111:A113"/>
    <mergeCell ref="A92:A94"/>
    <mergeCell ref="B92:B94"/>
    <mergeCell ref="A75:D75"/>
    <mergeCell ref="B49:B51"/>
    <mergeCell ref="B85:B87"/>
    <mergeCell ref="A68:A70"/>
    <mergeCell ref="A88:B88"/>
    <mergeCell ref="A62:A64"/>
    <mergeCell ref="A65:A67"/>
    <mergeCell ref="A76:A78"/>
    <mergeCell ref="B76:B78"/>
    <mergeCell ref="A85:A87"/>
    <mergeCell ref="B36:B38"/>
    <mergeCell ref="B59:B61"/>
    <mergeCell ref="B43:B45"/>
    <mergeCell ref="A39:B39"/>
    <mergeCell ref="A42:D42"/>
    <mergeCell ref="B46:B48"/>
    <mergeCell ref="C49:C51"/>
    <mergeCell ref="A82:A84"/>
    <mergeCell ref="B148:B150"/>
    <mergeCell ref="A120:B120"/>
    <mergeCell ref="A117:A119"/>
    <mergeCell ref="B117:B119"/>
    <mergeCell ref="A125:A140"/>
    <mergeCell ref="B82:B84"/>
    <mergeCell ref="B111:B113"/>
    <mergeCell ref="B98:B100"/>
    <mergeCell ref="A101:A103"/>
    <mergeCell ref="B101:B103"/>
    <mergeCell ref="A108:A110"/>
    <mergeCell ref="A104:B104"/>
    <mergeCell ref="B135:B137"/>
    <mergeCell ref="B141:D141"/>
    <mergeCell ref="C111:C113"/>
    <mergeCell ref="C114:C116"/>
    <mergeCell ref="C117:C119"/>
    <mergeCell ref="A7:D7"/>
    <mergeCell ref="A10:D10"/>
    <mergeCell ref="A8:B9"/>
    <mergeCell ref="B30:B32"/>
    <mergeCell ref="A33:A35"/>
    <mergeCell ref="B33:B35"/>
    <mergeCell ref="A13:D13"/>
    <mergeCell ref="A26:D26"/>
    <mergeCell ref="A14:B15"/>
    <mergeCell ref="A30:A32"/>
    <mergeCell ref="A16:D16"/>
    <mergeCell ref="A19:D19"/>
    <mergeCell ref="A20:B21"/>
    <mergeCell ref="A22:D22"/>
    <mergeCell ref="A27:A29"/>
    <mergeCell ref="B27:B29"/>
    <mergeCell ref="C30:C32"/>
    <mergeCell ref="C33:C35"/>
    <mergeCell ref="A46:A48"/>
    <mergeCell ref="A58:D58"/>
    <mergeCell ref="B68:B70"/>
    <mergeCell ref="A79:A81"/>
    <mergeCell ref="A43:A45"/>
    <mergeCell ref="B62:B64"/>
    <mergeCell ref="B79:B81"/>
    <mergeCell ref="B52:B54"/>
    <mergeCell ref="B65:B67"/>
    <mergeCell ref="A52:A54"/>
    <mergeCell ref="A71:B71"/>
    <mergeCell ref="C62:C64"/>
    <mergeCell ref="C65:C67"/>
    <mergeCell ref="C68:C70"/>
    <mergeCell ref="C76:C78"/>
    <mergeCell ref="C79:C81"/>
    <mergeCell ref="C52:C54"/>
    <mergeCell ref="C59:C61"/>
    <mergeCell ref="A36:A38"/>
    <mergeCell ref="A59:A61"/>
    <mergeCell ref="A55:B55"/>
    <mergeCell ref="A49:A51"/>
    <mergeCell ref="A141:A153"/>
    <mergeCell ref="B114:B116"/>
    <mergeCell ref="A164:D164"/>
    <mergeCell ref="A124:D124"/>
    <mergeCell ref="A157:D157"/>
    <mergeCell ref="A160:D160"/>
    <mergeCell ref="B132:B134"/>
    <mergeCell ref="B142:B144"/>
    <mergeCell ref="B129:B131"/>
    <mergeCell ref="B151:B153"/>
    <mergeCell ref="A154:D154"/>
    <mergeCell ref="B138:B140"/>
    <mergeCell ref="B128:D128"/>
    <mergeCell ref="B125:B127"/>
    <mergeCell ref="A91:D91"/>
    <mergeCell ref="A98:A100"/>
    <mergeCell ref="B145:B147"/>
    <mergeCell ref="A95:A97"/>
    <mergeCell ref="B95:B97"/>
    <mergeCell ref="B108:B110"/>
  </mergeCells>
  <phoneticPr fontId="2" type="noConversion"/>
  <dataValidations disablePrompts="1" count="1">
    <dataValidation type="date" allowBlank="1" showInputMessage="1" showErrorMessage="1" sqref="E15 E44 E50 E47 E53 E93 E96 E99 E102">
      <formula1>1</formula1>
      <formula2>36525</formula2>
    </dataValidation>
  </dataValidations>
  <printOptions horizontalCentered="1"/>
  <pageMargins left="0.19685039370078741" right="0.11811023622047245" top="0.51181102362204722" bottom="0.51181102362204722" header="0.51181102362204722" footer="0.51181102362204722"/>
  <pageSetup paperSize="9" scale="98" fitToHeight="12" orientation="portrait" r:id="rId1"/>
  <headerFooter alignWithMargins="0"/>
  <rowBreaks count="7" manualBreakCount="7">
    <brk id="23" max="3" man="1"/>
    <brk id="56" max="3" man="1"/>
    <brk id="72" max="3" man="1"/>
    <brk id="89" max="3" man="1"/>
    <brk id="105" max="3" man="1"/>
    <brk id="121" max="3" man="1"/>
    <brk id="155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15"/>
  <sheetViews>
    <sheetView view="pageBreakPreview" topLeftCell="A91" zoomScaleNormal="100" zoomScaleSheetLayoutView="100" workbookViewId="0">
      <selection activeCell="D37" sqref="D37"/>
    </sheetView>
  </sheetViews>
  <sheetFormatPr defaultRowHeight="16.5"/>
  <cols>
    <col min="1" max="1" width="16.5546875" style="39" customWidth="1"/>
    <col min="2" max="2" width="8.109375" style="39" customWidth="1"/>
    <col min="3" max="3" width="9.6640625" style="39" customWidth="1"/>
    <col min="4" max="4" width="50.77734375" style="81" customWidth="1"/>
    <col min="5" max="16384" width="8.88671875" style="39"/>
  </cols>
  <sheetData>
    <row r="1" spans="1:5" ht="30" customHeight="1">
      <c r="A1" s="40" t="s">
        <v>30</v>
      </c>
      <c r="B1" s="41"/>
      <c r="C1" s="41"/>
      <c r="D1" s="73"/>
    </row>
    <row r="2" spans="1:5" s="43" customFormat="1" ht="26.25" customHeight="1">
      <c r="A2" s="466" t="s">
        <v>370</v>
      </c>
      <c r="B2" s="466"/>
      <c r="C2" s="466"/>
      <c r="D2" s="110" t="str">
        <f>IF(SUM(D5,D8,D11,D14,D17)=100%,"ok","no")</f>
        <v>ok</v>
      </c>
      <c r="E2" s="39"/>
    </row>
    <row r="3" spans="1:5" s="81" customFormat="1" ht="54.95" customHeight="1">
      <c r="A3" s="468" t="s">
        <v>308</v>
      </c>
      <c r="B3" s="468"/>
      <c r="C3" s="468"/>
      <c r="D3" s="80" t="str">
        <f>참여기술자!E$7</f>
        <v>A엔지니어링, B엔지니어링, C엔지니어링, D엔지니어링, E엔지니어링</v>
      </c>
      <c r="E3" s="204" t="s">
        <v>270</v>
      </c>
    </row>
    <row r="4" spans="1:5" s="16" customFormat="1" ht="50.1" customHeight="1">
      <c r="A4" s="470" t="s">
        <v>351</v>
      </c>
      <c r="B4" s="467" t="str">
        <f>입력!D31</f>
        <v>A엔지니어링</v>
      </c>
      <c r="C4" s="65" t="s">
        <v>185</v>
      </c>
      <c r="D4" s="153">
        <f>입력!F31</f>
        <v>13.28</v>
      </c>
    </row>
    <row r="5" spans="1:5" s="16" customFormat="1" ht="50.1" customHeight="1">
      <c r="A5" s="471"/>
      <c r="B5" s="467"/>
      <c r="C5" s="65" t="s">
        <v>186</v>
      </c>
      <c r="D5" s="154">
        <f>입력!E31</f>
        <v>0.7</v>
      </c>
    </row>
    <row r="6" spans="1:5" s="16" customFormat="1" ht="50.1" customHeight="1">
      <c r="A6" s="471"/>
      <c r="B6" s="467"/>
      <c r="C6" s="65" t="s">
        <v>187</v>
      </c>
      <c r="D6" s="112">
        <f>D4*D5</f>
        <v>9.2959999999999994</v>
      </c>
    </row>
    <row r="7" spans="1:5" s="16" customFormat="1" ht="50.1" customHeight="1">
      <c r="A7" s="471"/>
      <c r="B7" s="467" t="str">
        <f>입력!D32</f>
        <v>B엔지니어링</v>
      </c>
      <c r="C7" s="65" t="s">
        <v>185</v>
      </c>
      <c r="D7" s="153">
        <f>입력!F32</f>
        <v>0.5</v>
      </c>
    </row>
    <row r="8" spans="1:5" s="16" customFormat="1" ht="50.1" customHeight="1">
      <c r="A8" s="471"/>
      <c r="B8" s="390"/>
      <c r="C8" s="65" t="s">
        <v>186</v>
      </c>
      <c r="D8" s="154">
        <f>입력!E32</f>
        <v>0.3</v>
      </c>
    </row>
    <row r="9" spans="1:5" s="16" customFormat="1" ht="50.1" customHeight="1">
      <c r="A9" s="471"/>
      <c r="B9" s="390"/>
      <c r="C9" s="65" t="s">
        <v>188</v>
      </c>
      <c r="D9" s="112">
        <f>D7*D8</f>
        <v>0.15</v>
      </c>
    </row>
    <row r="10" spans="1:5" s="16" customFormat="1" ht="50.1" customHeight="1">
      <c r="A10" s="471"/>
      <c r="B10" s="467" t="str">
        <f>입력!D33</f>
        <v>C엔지니어링</v>
      </c>
      <c r="C10" s="65" t="s">
        <v>185</v>
      </c>
      <c r="D10" s="153">
        <f>입력!F33</f>
        <v>0</v>
      </c>
    </row>
    <row r="11" spans="1:5" s="16" customFormat="1" ht="50.1" customHeight="1">
      <c r="A11" s="471"/>
      <c r="B11" s="390"/>
      <c r="C11" s="65" t="s">
        <v>186</v>
      </c>
      <c r="D11" s="154">
        <f>입력!E33</f>
        <v>0</v>
      </c>
    </row>
    <row r="12" spans="1:5" s="16" customFormat="1" ht="50.1" customHeight="1">
      <c r="A12" s="471"/>
      <c r="B12" s="390"/>
      <c r="C12" s="65" t="s">
        <v>189</v>
      </c>
      <c r="D12" s="112">
        <f>D10*D11</f>
        <v>0</v>
      </c>
    </row>
    <row r="13" spans="1:5" s="16" customFormat="1" ht="50.1" customHeight="1">
      <c r="A13" s="471"/>
      <c r="B13" s="467" t="str">
        <f>입력!D34</f>
        <v>D엔지니어링</v>
      </c>
      <c r="C13" s="65" t="s">
        <v>185</v>
      </c>
      <c r="D13" s="153">
        <f>입력!F34</f>
        <v>0</v>
      </c>
    </row>
    <row r="14" spans="1:5" s="16" customFormat="1" ht="50.1" customHeight="1">
      <c r="A14" s="471"/>
      <c r="B14" s="390"/>
      <c r="C14" s="65" t="s">
        <v>186</v>
      </c>
      <c r="D14" s="154">
        <f>입력!E34</f>
        <v>0</v>
      </c>
    </row>
    <row r="15" spans="1:5" s="16" customFormat="1" ht="50.1" customHeight="1">
      <c r="A15" s="471"/>
      <c r="B15" s="390"/>
      <c r="C15" s="65" t="s">
        <v>203</v>
      </c>
      <c r="D15" s="112">
        <f>D13*D14</f>
        <v>0</v>
      </c>
    </row>
    <row r="16" spans="1:5" s="16" customFormat="1" ht="50.1" customHeight="1">
      <c r="A16" s="471"/>
      <c r="B16" s="467" t="str">
        <f>입력!D35</f>
        <v>E엔지니어링</v>
      </c>
      <c r="C16" s="66" t="s">
        <v>37</v>
      </c>
      <c r="D16" s="153">
        <f>입력!F35</f>
        <v>0</v>
      </c>
    </row>
    <row r="17" spans="1:5" s="16" customFormat="1" ht="50.1" customHeight="1">
      <c r="A17" s="471"/>
      <c r="B17" s="390"/>
      <c r="C17" s="66" t="s">
        <v>12</v>
      </c>
      <c r="D17" s="154">
        <f>입력!E35</f>
        <v>0</v>
      </c>
    </row>
    <row r="18" spans="1:5" s="16" customFormat="1" ht="50.1" customHeight="1">
      <c r="A18" s="472"/>
      <c r="B18" s="390"/>
      <c r="C18" s="66" t="s">
        <v>201</v>
      </c>
      <c r="D18" s="112">
        <f>D16*D17</f>
        <v>0</v>
      </c>
    </row>
    <row r="19" spans="1:5" ht="50.1" customHeight="1">
      <c r="A19" s="473" t="s">
        <v>202</v>
      </c>
      <c r="B19" s="473"/>
      <c r="C19" s="473"/>
      <c r="D19" s="105">
        <f>SUM(D6,D9,D12,D15,D18)</f>
        <v>9.4459999999999997</v>
      </c>
    </row>
    <row r="20" spans="1:5" s="81" customFormat="1" ht="42.75" customHeight="1">
      <c r="A20" s="469" t="s">
        <v>0</v>
      </c>
      <c r="B20" s="469"/>
      <c r="C20" s="469"/>
      <c r="D20" s="15">
        <f>IF(D19&gt;=5,7,IF(D19&gt;=4,6.3,IF(D19&gt;=3,5.6,IF(D19&gt;=2,4.9,IF(D19&lt;2,4.2)))))</f>
        <v>7</v>
      </c>
    </row>
    <row r="21" spans="1:5" s="16" customFormat="1" ht="18.75" customHeight="1">
      <c r="A21" s="17"/>
      <c r="B21" s="17"/>
      <c r="C21" s="17"/>
      <c r="D21" s="18"/>
    </row>
    <row r="22" spans="1:5" s="43" customFormat="1" ht="30" customHeight="1">
      <c r="A22" s="474" t="s">
        <v>353</v>
      </c>
      <c r="B22" s="474"/>
      <c r="C22" s="474"/>
      <c r="D22" s="475"/>
      <c r="E22" s="39"/>
    </row>
    <row r="23" spans="1:5" s="81" customFormat="1" ht="54.95" customHeight="1">
      <c r="A23" s="468" t="str">
        <f>A3</f>
        <v xml:space="preserve">                                       회사별
   구     분</v>
      </c>
      <c r="B23" s="468"/>
      <c r="C23" s="468"/>
      <c r="D23" s="80" t="str">
        <f>참여기술자!E$7</f>
        <v>A엔지니어링, B엔지니어링, C엔지니어링, D엔지니어링, E엔지니어링</v>
      </c>
    </row>
    <row r="24" spans="1:5" s="16" customFormat="1" ht="50.1" customHeight="1">
      <c r="A24" s="470" t="s">
        <v>352</v>
      </c>
      <c r="B24" s="467" t="str">
        <f>입력!D31</f>
        <v>A엔지니어링</v>
      </c>
      <c r="C24" s="64" t="s">
        <v>190</v>
      </c>
      <c r="D24" s="155">
        <f>입력!G31</f>
        <v>7230</v>
      </c>
    </row>
    <row r="25" spans="1:5" s="16" customFormat="1" ht="50.1" customHeight="1">
      <c r="A25" s="471"/>
      <c r="B25" s="467"/>
      <c r="C25" s="65" t="s">
        <v>186</v>
      </c>
      <c r="D25" s="111">
        <f>입력!E31</f>
        <v>0.7</v>
      </c>
    </row>
    <row r="26" spans="1:5" s="16" customFormat="1" ht="50.1" customHeight="1">
      <c r="A26" s="471"/>
      <c r="B26" s="467"/>
      <c r="C26" s="65" t="s">
        <v>191</v>
      </c>
      <c r="D26" s="113">
        <f>D24*D25</f>
        <v>5061</v>
      </c>
    </row>
    <row r="27" spans="1:5" s="16" customFormat="1" ht="50.1" customHeight="1">
      <c r="A27" s="471"/>
      <c r="B27" s="467" t="str">
        <f>입력!D32</f>
        <v>B엔지니어링</v>
      </c>
      <c r="C27" s="64" t="s">
        <v>190</v>
      </c>
      <c r="D27" s="156">
        <f>입력!G32</f>
        <v>438</v>
      </c>
    </row>
    <row r="28" spans="1:5" s="16" customFormat="1" ht="50.1" customHeight="1">
      <c r="A28" s="471"/>
      <c r="B28" s="390"/>
      <c r="C28" s="65" t="s">
        <v>186</v>
      </c>
      <c r="D28" s="111">
        <f>입력!E32</f>
        <v>0.3</v>
      </c>
    </row>
    <row r="29" spans="1:5" s="16" customFormat="1" ht="50.1" customHeight="1">
      <c r="A29" s="471"/>
      <c r="B29" s="390"/>
      <c r="C29" s="65" t="s">
        <v>192</v>
      </c>
      <c r="D29" s="113">
        <f>D27*D28</f>
        <v>131.4</v>
      </c>
    </row>
    <row r="30" spans="1:5" s="16" customFormat="1" ht="50.1" customHeight="1">
      <c r="A30" s="471"/>
      <c r="B30" s="467" t="str">
        <f>입력!D33</f>
        <v>C엔지니어링</v>
      </c>
      <c r="C30" s="64" t="s">
        <v>190</v>
      </c>
      <c r="D30" s="156">
        <f>입력!G33</f>
        <v>0</v>
      </c>
    </row>
    <row r="31" spans="1:5" s="16" customFormat="1" ht="50.1" customHeight="1">
      <c r="A31" s="471"/>
      <c r="B31" s="390"/>
      <c r="C31" s="65" t="s">
        <v>186</v>
      </c>
      <c r="D31" s="111">
        <f>입력!E33</f>
        <v>0</v>
      </c>
    </row>
    <row r="32" spans="1:5" s="16" customFormat="1" ht="50.1" customHeight="1">
      <c r="A32" s="471"/>
      <c r="B32" s="390"/>
      <c r="C32" s="65" t="s">
        <v>193</v>
      </c>
      <c r="D32" s="113">
        <f>D30*D31</f>
        <v>0</v>
      </c>
    </row>
    <row r="33" spans="1:5" s="16" customFormat="1" ht="50.1" customHeight="1">
      <c r="A33" s="471"/>
      <c r="B33" s="467" t="str">
        <f>입력!D34</f>
        <v>D엔지니어링</v>
      </c>
      <c r="C33" s="64" t="s">
        <v>190</v>
      </c>
      <c r="D33" s="156">
        <f>입력!G34</f>
        <v>0</v>
      </c>
    </row>
    <row r="34" spans="1:5" s="16" customFormat="1" ht="50.1" customHeight="1">
      <c r="A34" s="471"/>
      <c r="B34" s="390"/>
      <c r="C34" s="65" t="s">
        <v>186</v>
      </c>
      <c r="D34" s="111">
        <f>입력!E34</f>
        <v>0</v>
      </c>
    </row>
    <row r="35" spans="1:5" s="16" customFormat="1" ht="50.1" customHeight="1">
      <c r="A35" s="471"/>
      <c r="B35" s="390"/>
      <c r="C35" s="65" t="s">
        <v>204</v>
      </c>
      <c r="D35" s="113">
        <f>D33*D34</f>
        <v>0</v>
      </c>
    </row>
    <row r="36" spans="1:5" s="16" customFormat="1" ht="50.1" customHeight="1">
      <c r="A36" s="471"/>
      <c r="B36" s="467" t="str">
        <f>입력!D35</f>
        <v>E엔지니어링</v>
      </c>
      <c r="C36" s="69" t="s">
        <v>190</v>
      </c>
      <c r="D36" s="156">
        <f>입력!G35</f>
        <v>0</v>
      </c>
    </row>
    <row r="37" spans="1:5" s="16" customFormat="1" ht="50.1" customHeight="1">
      <c r="A37" s="471"/>
      <c r="B37" s="390"/>
      <c r="C37" s="66" t="s">
        <v>12</v>
      </c>
      <c r="D37" s="111">
        <f>입력!E35</f>
        <v>0</v>
      </c>
    </row>
    <row r="38" spans="1:5" s="16" customFormat="1" ht="50.1" customHeight="1">
      <c r="A38" s="472"/>
      <c r="B38" s="390"/>
      <c r="C38" s="66" t="s">
        <v>205</v>
      </c>
      <c r="D38" s="113">
        <f>D36*D37</f>
        <v>0</v>
      </c>
    </row>
    <row r="39" spans="1:5" s="16" customFormat="1" ht="50.1" customHeight="1">
      <c r="A39" s="473" t="s">
        <v>206</v>
      </c>
      <c r="B39" s="473"/>
      <c r="C39" s="473"/>
      <c r="D39" s="114">
        <f>SUM(D26,D29,D32,D35,D38)</f>
        <v>5192.3999999999996</v>
      </c>
    </row>
    <row r="40" spans="1:5" s="81" customFormat="1" ht="39" customHeight="1">
      <c r="A40" s="469" t="s">
        <v>0</v>
      </c>
      <c r="B40" s="469"/>
      <c r="C40" s="469"/>
      <c r="D40" s="15">
        <f>IF(D39&gt;=5000,6,IF(D39&gt;=3500,5.4,IF(D39&gt;=2000,4.8,IF(D39&gt;=500,4.2,IF(D39&lt;500,3.6)))))</f>
        <v>6</v>
      </c>
    </row>
    <row r="41" spans="1:5" s="16" customFormat="1" ht="18.75" customHeight="1">
      <c r="A41" s="17"/>
      <c r="B41" s="17"/>
      <c r="C41" s="17"/>
      <c r="D41" s="18"/>
    </row>
    <row r="42" spans="1:5" s="43" customFormat="1" ht="27" customHeight="1">
      <c r="A42" s="474" t="s">
        <v>371</v>
      </c>
      <c r="B42" s="474"/>
      <c r="C42" s="474"/>
      <c r="D42" s="475"/>
      <c r="E42" s="39"/>
    </row>
    <row r="43" spans="1:5" s="81" customFormat="1" ht="54.95" customHeight="1">
      <c r="A43" s="468" t="str">
        <f>$A$3</f>
        <v xml:space="preserve">                                       회사별
   구     분</v>
      </c>
      <c r="B43" s="468"/>
      <c r="C43" s="468"/>
      <c r="D43" s="80" t="str">
        <f>참여기술자!E$7</f>
        <v>A엔지니어링, B엔지니어링, C엔지니어링, D엔지니어링, E엔지니어링</v>
      </c>
    </row>
    <row r="44" spans="1:5" s="16" customFormat="1" ht="39.950000000000003" customHeight="1">
      <c r="A44" s="476" t="s">
        <v>365</v>
      </c>
      <c r="B44" s="467" t="str">
        <f>입력!D31</f>
        <v>A엔지니어링</v>
      </c>
      <c r="C44" s="64" t="s">
        <v>194</v>
      </c>
      <c r="D44" s="234" t="str">
        <f>입력!H31</f>
        <v>해당없음</v>
      </c>
      <c r="E44" s="179"/>
    </row>
    <row r="45" spans="1:5" s="16" customFormat="1" ht="39.950000000000003" customHeight="1">
      <c r="A45" s="476"/>
      <c r="B45" s="467"/>
      <c r="C45" s="65" t="s">
        <v>195</v>
      </c>
      <c r="D45" s="115">
        <f>IF(D44="해당없음",0,IF(D44&lt;3,1,IF(D44&lt;5,0.8,IF(D44&lt;10,0.6,IF(D44&gt;=10,0)))))</f>
        <v>0</v>
      </c>
    </row>
    <row r="46" spans="1:5" s="16" customFormat="1" ht="48" customHeight="1">
      <c r="A46" s="476"/>
      <c r="B46" s="467"/>
      <c r="C46" s="64" t="s">
        <v>348</v>
      </c>
      <c r="D46" s="111">
        <f>입력!E31</f>
        <v>0.7</v>
      </c>
    </row>
    <row r="47" spans="1:5" s="16" customFormat="1" ht="48" customHeight="1">
      <c r="A47" s="476"/>
      <c r="B47" s="467"/>
      <c r="C47" s="69" t="s">
        <v>196</v>
      </c>
      <c r="D47" s="111">
        <f>입력!I31</f>
        <v>0.5</v>
      </c>
    </row>
    <row r="48" spans="1:5" s="16" customFormat="1" ht="39.950000000000003" customHeight="1">
      <c r="A48" s="476"/>
      <c r="B48" s="467"/>
      <c r="C48" s="65" t="s">
        <v>197</v>
      </c>
      <c r="D48" s="115">
        <f>D45*D46*D47</f>
        <v>0</v>
      </c>
    </row>
    <row r="49" spans="1:5" s="16" customFormat="1" ht="39.950000000000003" customHeight="1">
      <c r="A49" s="476"/>
      <c r="B49" s="467" t="str">
        <f>입력!D32</f>
        <v>B엔지니어링</v>
      </c>
      <c r="C49" s="64" t="s">
        <v>194</v>
      </c>
      <c r="D49" s="234" t="str">
        <f>입력!H32</f>
        <v>해당없음</v>
      </c>
      <c r="E49" s="179"/>
    </row>
    <row r="50" spans="1:5" s="16" customFormat="1" ht="39.950000000000003" customHeight="1">
      <c r="A50" s="476"/>
      <c r="B50" s="467"/>
      <c r="C50" s="65" t="s">
        <v>195</v>
      </c>
      <c r="D50" s="115">
        <f>IF(D49="해당없음",0,IF(D49&lt;3,1,IF(D49&lt;5,0.8,IF(D49&lt;10,0.6,IF(D49&gt;=10,0)))))</f>
        <v>0</v>
      </c>
    </row>
    <row r="51" spans="1:5" s="16" customFormat="1" ht="48" customHeight="1">
      <c r="A51" s="476"/>
      <c r="B51" s="467"/>
      <c r="C51" s="69" t="s">
        <v>348</v>
      </c>
      <c r="D51" s="111">
        <f>입력!E32</f>
        <v>0.3</v>
      </c>
    </row>
    <row r="52" spans="1:5" s="16" customFormat="1" ht="48" customHeight="1">
      <c r="A52" s="476"/>
      <c r="B52" s="467"/>
      <c r="C52" s="69" t="s">
        <v>196</v>
      </c>
      <c r="D52" s="111">
        <f>입력!I32</f>
        <v>0.2</v>
      </c>
    </row>
    <row r="53" spans="1:5" s="16" customFormat="1" ht="39.950000000000003" customHeight="1">
      <c r="A53" s="476"/>
      <c r="B53" s="467"/>
      <c r="C53" s="65" t="s">
        <v>198</v>
      </c>
      <c r="D53" s="115">
        <f>D50*D51*D52</f>
        <v>0</v>
      </c>
    </row>
    <row r="54" spans="1:5" s="16" customFormat="1" ht="39.950000000000003" customHeight="1">
      <c r="A54" s="476"/>
      <c r="B54" s="467" t="str">
        <f>입력!D33</f>
        <v>C엔지니어링</v>
      </c>
      <c r="C54" s="64" t="s">
        <v>194</v>
      </c>
      <c r="D54" s="234" t="str">
        <f>입력!H33</f>
        <v>해당없음</v>
      </c>
      <c r="E54" s="179"/>
    </row>
    <row r="55" spans="1:5" s="16" customFormat="1" ht="39.950000000000003" customHeight="1">
      <c r="A55" s="476"/>
      <c r="B55" s="467"/>
      <c r="C55" s="65" t="s">
        <v>195</v>
      </c>
      <c r="D55" s="115">
        <f>IF(D54="해당없음",0,IF(D54&lt;3,1,IF(D54&lt;5,0.8,IF(D54&lt;10,0.6,IF(D54&gt;=10,0)))))</f>
        <v>0</v>
      </c>
    </row>
    <row r="56" spans="1:5" s="16" customFormat="1" ht="48" customHeight="1">
      <c r="A56" s="476"/>
      <c r="B56" s="467"/>
      <c r="C56" s="69" t="s">
        <v>348</v>
      </c>
      <c r="D56" s="111">
        <f>입력!E33</f>
        <v>0</v>
      </c>
    </row>
    <row r="57" spans="1:5" s="16" customFormat="1" ht="48" customHeight="1">
      <c r="A57" s="476"/>
      <c r="B57" s="467"/>
      <c r="C57" s="69" t="s">
        <v>196</v>
      </c>
      <c r="D57" s="111">
        <f>-입력!I33</f>
        <v>0</v>
      </c>
    </row>
    <row r="58" spans="1:5" s="16" customFormat="1" ht="39.950000000000003" customHeight="1">
      <c r="A58" s="476"/>
      <c r="B58" s="467"/>
      <c r="C58" s="65" t="s">
        <v>199</v>
      </c>
      <c r="D58" s="115">
        <f>D55*D56*D57</f>
        <v>0</v>
      </c>
    </row>
    <row r="59" spans="1:5" s="16" customFormat="1" ht="39.950000000000003" customHeight="1">
      <c r="A59" s="476"/>
      <c r="B59" s="467" t="str">
        <f>입력!D34</f>
        <v>D엔지니어링</v>
      </c>
      <c r="C59" s="64" t="s">
        <v>194</v>
      </c>
      <c r="D59" s="234" t="str">
        <f>입력!H34</f>
        <v>해당없음</v>
      </c>
      <c r="E59" s="179"/>
    </row>
    <row r="60" spans="1:5" s="16" customFormat="1" ht="39.950000000000003" customHeight="1">
      <c r="A60" s="476"/>
      <c r="B60" s="467"/>
      <c r="C60" s="65" t="s">
        <v>195</v>
      </c>
      <c r="D60" s="115">
        <f>IF(D59="해당없음",0,IF(D59&lt;3,1,IF(D59&lt;5,0.8,IF(D59&lt;10,0.6,IF(D59&gt;=10,0)))))</f>
        <v>0</v>
      </c>
    </row>
    <row r="61" spans="1:5" s="16" customFormat="1" ht="48" customHeight="1">
      <c r="A61" s="476"/>
      <c r="B61" s="467"/>
      <c r="C61" s="69" t="s">
        <v>348</v>
      </c>
      <c r="D61" s="111">
        <f>입력!E34</f>
        <v>0</v>
      </c>
    </row>
    <row r="62" spans="1:5" s="16" customFormat="1" ht="48" customHeight="1">
      <c r="A62" s="476"/>
      <c r="B62" s="467"/>
      <c r="C62" s="69" t="s">
        <v>196</v>
      </c>
      <c r="D62" s="111">
        <f>입력!I34</f>
        <v>0</v>
      </c>
    </row>
    <row r="63" spans="1:5" s="16" customFormat="1" ht="39.950000000000003" customHeight="1">
      <c r="A63" s="476"/>
      <c r="B63" s="467"/>
      <c r="C63" s="65" t="s">
        <v>85</v>
      </c>
      <c r="D63" s="115">
        <f>D60*D61*D62</f>
        <v>0</v>
      </c>
    </row>
    <row r="64" spans="1:5" s="16" customFormat="1" ht="39.950000000000003" customHeight="1">
      <c r="A64" s="476"/>
      <c r="B64" s="467" t="str">
        <f>입력!D35</f>
        <v>E엔지니어링</v>
      </c>
      <c r="C64" s="69" t="s">
        <v>194</v>
      </c>
      <c r="D64" s="234" t="str">
        <f>입력!H35</f>
        <v>해당없음</v>
      </c>
      <c r="E64" s="179"/>
    </row>
    <row r="65" spans="1:5" s="16" customFormat="1" ht="39.950000000000003" customHeight="1">
      <c r="A65" s="476"/>
      <c r="B65" s="467"/>
      <c r="C65" s="66" t="s">
        <v>0</v>
      </c>
      <c r="D65" s="115">
        <f>IF(D64="해당없음",0,IF(D64&lt;3,1,IF(D64&lt;5,0.8,IF(D64&lt;10,0.6,IF(D64&gt;=10,0)))))</f>
        <v>0</v>
      </c>
    </row>
    <row r="66" spans="1:5" s="16" customFormat="1" ht="48" customHeight="1">
      <c r="A66" s="476"/>
      <c r="B66" s="467"/>
      <c r="C66" s="69" t="s">
        <v>348</v>
      </c>
      <c r="D66" s="111">
        <f>입력!E35</f>
        <v>0</v>
      </c>
    </row>
    <row r="67" spans="1:5" s="16" customFormat="1" ht="48" customHeight="1">
      <c r="A67" s="476"/>
      <c r="B67" s="467"/>
      <c r="C67" s="69" t="s">
        <v>196</v>
      </c>
      <c r="D67" s="111">
        <f>입력!I35</f>
        <v>0</v>
      </c>
    </row>
    <row r="68" spans="1:5" s="16" customFormat="1" ht="39.950000000000003" customHeight="1">
      <c r="A68" s="476"/>
      <c r="B68" s="467"/>
      <c r="C68" s="66" t="s">
        <v>209</v>
      </c>
      <c r="D68" s="115">
        <f>D65*D66*D67</f>
        <v>0</v>
      </c>
    </row>
    <row r="69" spans="1:5" s="81" customFormat="1" ht="31.5" customHeight="1">
      <c r="A69" s="477" t="s">
        <v>210</v>
      </c>
      <c r="B69" s="477"/>
      <c r="C69" s="477"/>
      <c r="D69" s="44">
        <f>SUM(D48,D53,D58,D63,D68)</f>
        <v>0</v>
      </c>
    </row>
    <row r="70" spans="1:5" ht="27" customHeight="1">
      <c r="A70" s="16"/>
      <c r="B70" s="16"/>
      <c r="C70" s="16"/>
      <c r="D70" s="183" t="s">
        <v>171</v>
      </c>
      <c r="E70" s="179" t="s">
        <v>218</v>
      </c>
    </row>
    <row r="71" spans="1:5">
      <c r="A71" s="16"/>
      <c r="B71" s="16"/>
      <c r="C71" s="16"/>
      <c r="D71" s="104"/>
    </row>
    <row r="72" spans="1:5" ht="39.950000000000003" customHeight="1">
      <c r="A72" s="474" t="s">
        <v>354</v>
      </c>
      <c r="B72" s="474"/>
      <c r="C72" s="474"/>
      <c r="D72" s="475"/>
    </row>
    <row r="73" spans="1:5" ht="39.950000000000003" customHeight="1">
      <c r="A73" s="468" t="str">
        <f>$A$3</f>
        <v xml:space="preserve">                                       회사별
   구     분</v>
      </c>
      <c r="B73" s="468"/>
      <c r="C73" s="468"/>
      <c r="D73" s="80" t="str">
        <f>참여기술자!E$7</f>
        <v>A엔지니어링, B엔지니어링, C엔지니어링, D엔지니어링, E엔지니어링</v>
      </c>
    </row>
    <row r="74" spans="1:5" ht="39.950000000000003" customHeight="1">
      <c r="A74" s="470" t="s">
        <v>361</v>
      </c>
      <c r="B74" s="467" t="str">
        <f>입력!D31</f>
        <v>A엔지니어링</v>
      </c>
      <c r="C74" s="69" t="s">
        <v>357</v>
      </c>
      <c r="D74" s="304">
        <f>입력!J31</f>
        <v>1</v>
      </c>
    </row>
    <row r="75" spans="1:5" ht="39.950000000000003" customHeight="1">
      <c r="A75" s="471"/>
      <c r="B75" s="467"/>
      <c r="C75" s="69" t="s">
        <v>356</v>
      </c>
      <c r="D75" s="305">
        <f>입력!K31</f>
        <v>96.6</v>
      </c>
    </row>
    <row r="76" spans="1:5" ht="39.950000000000003" customHeight="1">
      <c r="A76" s="471"/>
      <c r="B76" s="467"/>
      <c r="C76" s="69" t="s">
        <v>362</v>
      </c>
      <c r="D76" s="305">
        <f>입력!L31</f>
        <v>2</v>
      </c>
    </row>
    <row r="77" spans="1:5" ht="39.950000000000003" customHeight="1">
      <c r="A77" s="471"/>
      <c r="B77" s="467"/>
      <c r="C77" s="296" t="s">
        <v>12</v>
      </c>
      <c r="D77" s="111">
        <f>입력!E31</f>
        <v>0.7</v>
      </c>
    </row>
    <row r="78" spans="1:5" ht="39.950000000000003" customHeight="1">
      <c r="A78" s="471"/>
      <c r="B78" s="467"/>
      <c r="C78" s="296" t="s">
        <v>51</v>
      </c>
      <c r="D78" s="306">
        <f>D76*D77</f>
        <v>1.4</v>
      </c>
    </row>
    <row r="79" spans="1:5" ht="39.950000000000003" customHeight="1">
      <c r="A79" s="471"/>
      <c r="B79" s="467" t="str">
        <f>입력!D32</f>
        <v>B엔지니어링</v>
      </c>
      <c r="C79" s="69" t="s">
        <v>357</v>
      </c>
      <c r="D79" s="304">
        <f>입력!J32</f>
        <v>0</v>
      </c>
    </row>
    <row r="80" spans="1:5" ht="39.950000000000003" customHeight="1">
      <c r="A80" s="471"/>
      <c r="B80" s="467"/>
      <c r="C80" s="69" t="s">
        <v>356</v>
      </c>
      <c r="D80" s="305">
        <f>입력!K32</f>
        <v>0</v>
      </c>
    </row>
    <row r="81" spans="1:4" ht="39.950000000000003" customHeight="1">
      <c r="A81" s="471"/>
      <c r="B81" s="467"/>
      <c r="C81" s="69" t="s">
        <v>362</v>
      </c>
      <c r="D81" s="305">
        <f>입력!L32</f>
        <v>1.8</v>
      </c>
    </row>
    <row r="82" spans="1:4" ht="39.950000000000003" customHeight="1">
      <c r="A82" s="471"/>
      <c r="B82" s="390"/>
      <c r="C82" s="296" t="s">
        <v>12</v>
      </c>
      <c r="D82" s="111">
        <f>입력!E32</f>
        <v>0.3</v>
      </c>
    </row>
    <row r="83" spans="1:4" ht="39.950000000000003" customHeight="1">
      <c r="A83" s="471"/>
      <c r="B83" s="390"/>
      <c r="C83" s="296" t="s">
        <v>55</v>
      </c>
      <c r="D83" s="306">
        <f>D81*D82</f>
        <v>0.54</v>
      </c>
    </row>
    <row r="84" spans="1:4" ht="39.950000000000003" customHeight="1">
      <c r="A84" s="471"/>
      <c r="B84" s="467" t="str">
        <f>입력!D33</f>
        <v>C엔지니어링</v>
      </c>
      <c r="C84" s="69" t="s">
        <v>357</v>
      </c>
      <c r="D84" s="304">
        <f>입력!J33</f>
        <v>0</v>
      </c>
    </row>
    <row r="85" spans="1:4" ht="39.950000000000003" customHeight="1">
      <c r="A85" s="471"/>
      <c r="B85" s="467"/>
      <c r="C85" s="69" t="s">
        <v>356</v>
      </c>
      <c r="D85" s="305">
        <f>입력!K33</f>
        <v>0</v>
      </c>
    </row>
    <row r="86" spans="1:4" ht="39.950000000000003" customHeight="1">
      <c r="A86" s="471"/>
      <c r="B86" s="467"/>
      <c r="C86" s="69" t="s">
        <v>362</v>
      </c>
      <c r="D86" s="305">
        <f>입력!L33</f>
        <v>1.8</v>
      </c>
    </row>
    <row r="87" spans="1:4" ht="39.950000000000003" customHeight="1">
      <c r="A87" s="471"/>
      <c r="B87" s="390"/>
      <c r="C87" s="296" t="s">
        <v>12</v>
      </c>
      <c r="D87" s="111">
        <f>입력!E33</f>
        <v>0</v>
      </c>
    </row>
    <row r="88" spans="1:4" ht="39.950000000000003" customHeight="1">
      <c r="A88" s="471"/>
      <c r="B88" s="390"/>
      <c r="C88" s="296" t="s">
        <v>56</v>
      </c>
      <c r="D88" s="306">
        <f>D86*D87</f>
        <v>0</v>
      </c>
    </row>
    <row r="89" spans="1:4" ht="39.950000000000003" customHeight="1">
      <c r="A89" s="471"/>
      <c r="B89" s="467" t="str">
        <f>입력!D34</f>
        <v>D엔지니어링</v>
      </c>
      <c r="C89" s="69" t="s">
        <v>357</v>
      </c>
      <c r="D89" s="304">
        <f>입력!J34</f>
        <v>0</v>
      </c>
    </row>
    <row r="90" spans="1:4" ht="39.950000000000003" customHeight="1">
      <c r="A90" s="471"/>
      <c r="B90" s="467"/>
      <c r="C90" s="69" t="s">
        <v>356</v>
      </c>
      <c r="D90" s="305">
        <f>입력!K34</f>
        <v>0</v>
      </c>
    </row>
    <row r="91" spans="1:4" ht="39.950000000000003" customHeight="1">
      <c r="A91" s="471"/>
      <c r="B91" s="467"/>
      <c r="C91" s="69" t="s">
        <v>362</v>
      </c>
      <c r="D91" s="305">
        <f>입력!L34</f>
        <v>1.6</v>
      </c>
    </row>
    <row r="92" spans="1:4" ht="39.950000000000003" customHeight="1">
      <c r="A92" s="471"/>
      <c r="B92" s="390"/>
      <c r="C92" s="296" t="s">
        <v>12</v>
      </c>
      <c r="D92" s="111">
        <f>입력!E34</f>
        <v>0</v>
      </c>
    </row>
    <row r="93" spans="1:4" ht="39.950000000000003" customHeight="1">
      <c r="A93" s="471"/>
      <c r="B93" s="390"/>
      <c r="C93" s="296" t="s">
        <v>85</v>
      </c>
      <c r="D93" s="306">
        <f>D91*D92</f>
        <v>0</v>
      </c>
    </row>
    <row r="94" spans="1:4" ht="39.950000000000003" customHeight="1">
      <c r="A94" s="471"/>
      <c r="B94" s="467" t="str">
        <f>입력!D35</f>
        <v>E엔지니어링</v>
      </c>
      <c r="C94" s="69" t="s">
        <v>357</v>
      </c>
      <c r="D94" s="304">
        <f>입력!J35</f>
        <v>0</v>
      </c>
    </row>
    <row r="95" spans="1:4" ht="39.950000000000003" customHeight="1">
      <c r="A95" s="471"/>
      <c r="B95" s="467"/>
      <c r="C95" s="69" t="s">
        <v>356</v>
      </c>
      <c r="D95" s="305">
        <f>입력!K35</f>
        <v>0</v>
      </c>
    </row>
    <row r="96" spans="1:4" ht="39.950000000000003" customHeight="1">
      <c r="A96" s="471"/>
      <c r="B96" s="467"/>
      <c r="C96" s="69" t="s">
        <v>362</v>
      </c>
      <c r="D96" s="305">
        <f>입력!L35</f>
        <v>1.4</v>
      </c>
    </row>
    <row r="97" spans="1:4" ht="39.950000000000003" customHeight="1">
      <c r="A97" s="471"/>
      <c r="B97" s="390"/>
      <c r="C97" s="296" t="s">
        <v>12</v>
      </c>
      <c r="D97" s="111">
        <f>입력!E35</f>
        <v>0</v>
      </c>
    </row>
    <row r="98" spans="1:4" ht="39.950000000000003" customHeight="1">
      <c r="A98" s="472"/>
      <c r="B98" s="390"/>
      <c r="C98" s="296" t="s">
        <v>208</v>
      </c>
      <c r="D98" s="306">
        <f>D96*D97</f>
        <v>0</v>
      </c>
    </row>
    <row r="99" spans="1:4" ht="39.950000000000003" customHeight="1">
      <c r="A99" s="473" t="s">
        <v>214</v>
      </c>
      <c r="B99" s="473"/>
      <c r="C99" s="473"/>
      <c r="D99" s="307">
        <f>SUM(D78,D83,D88,D93,D98)</f>
        <v>1.94</v>
      </c>
    </row>
    <row r="100" spans="1:4" ht="39.950000000000003" customHeight="1">
      <c r="A100" s="469" t="s">
        <v>0</v>
      </c>
      <c r="B100" s="469"/>
      <c r="C100" s="469"/>
      <c r="D100" s="15">
        <f>D99</f>
        <v>1.94</v>
      </c>
    </row>
    <row r="101" spans="1:4" ht="39.950000000000003" customHeight="1">
      <c r="A101" s="16"/>
      <c r="B101" s="16"/>
      <c r="C101" s="16"/>
      <c r="D101" s="104"/>
    </row>
    <row r="102" spans="1:4">
      <c r="A102" s="16"/>
      <c r="B102" s="16"/>
      <c r="C102" s="16"/>
      <c r="D102" s="104"/>
    </row>
    <row r="103" spans="1:4">
      <c r="A103" s="16"/>
      <c r="B103" s="16"/>
      <c r="C103" s="16"/>
      <c r="D103" s="104"/>
    </row>
    <row r="104" spans="1:4">
      <c r="A104" s="16"/>
      <c r="B104" s="16"/>
      <c r="C104" s="16"/>
      <c r="D104" s="104"/>
    </row>
    <row r="105" spans="1:4">
      <c r="A105" s="16"/>
      <c r="B105" s="16"/>
      <c r="C105" s="16"/>
      <c r="D105" s="104"/>
    </row>
    <row r="106" spans="1:4">
      <c r="A106" s="16"/>
      <c r="B106" s="16"/>
      <c r="C106" s="16"/>
      <c r="D106" s="104"/>
    </row>
    <row r="107" spans="1:4">
      <c r="A107" s="16"/>
      <c r="B107" s="16"/>
      <c r="C107" s="16"/>
      <c r="D107" s="104"/>
    </row>
    <row r="108" spans="1:4">
      <c r="A108" s="16"/>
      <c r="B108" s="16"/>
      <c r="C108" s="16"/>
      <c r="D108" s="104"/>
    </row>
    <row r="109" spans="1:4">
      <c r="A109" s="16"/>
      <c r="B109" s="16"/>
      <c r="C109" s="16"/>
      <c r="D109" s="104"/>
    </row>
    <row r="110" spans="1:4">
      <c r="A110" s="16"/>
      <c r="B110" s="16"/>
      <c r="C110" s="16"/>
      <c r="D110" s="104"/>
    </row>
    <row r="111" spans="1:4">
      <c r="A111" s="16"/>
      <c r="B111" s="16"/>
      <c r="C111" s="16"/>
      <c r="D111" s="104"/>
    </row>
    <row r="112" spans="1:4">
      <c r="A112" s="16"/>
      <c r="B112" s="16"/>
      <c r="C112" s="16"/>
      <c r="D112" s="104"/>
    </row>
    <row r="113" spans="1:4">
      <c r="A113" s="16"/>
      <c r="B113" s="16"/>
      <c r="C113" s="16"/>
      <c r="D113" s="104"/>
    </row>
    <row r="114" spans="1:4">
      <c r="A114" s="16"/>
      <c r="B114" s="16"/>
      <c r="C114" s="16"/>
      <c r="D114" s="104"/>
    </row>
    <row r="115" spans="1:4">
      <c r="A115" s="16"/>
      <c r="B115" s="16"/>
      <c r="C115" s="16"/>
      <c r="D115" s="104"/>
    </row>
  </sheetData>
  <sheetProtection algorithmName="SHA-512" hashValue="u3+r0nZdF8YFbiIGsserLEL+F19ee3YpbtawkGqxRoLZe7dg0B9aNSWu9NoF3/Redn1pU1qbPhxjn1/Wd6GKfA==" saltValue="6yHMsIXc9t6OOIo2wOn9Og==" spinCount="100000" sheet="1" objects="1" scenarios="1"/>
  <protectedRanges>
    <protectedRange sqref="D70" name="범위2"/>
  </protectedRanges>
  <mergeCells count="39">
    <mergeCell ref="A99:C99"/>
    <mergeCell ref="A100:C100"/>
    <mergeCell ref="A72:D72"/>
    <mergeCell ref="A73:C73"/>
    <mergeCell ref="A74:A98"/>
    <mergeCell ref="B74:B78"/>
    <mergeCell ref="B79:B83"/>
    <mergeCell ref="B84:B88"/>
    <mergeCell ref="B89:B93"/>
    <mergeCell ref="B94:B98"/>
    <mergeCell ref="B64:B68"/>
    <mergeCell ref="A44:A68"/>
    <mergeCell ref="A69:C69"/>
    <mergeCell ref="A42:D42"/>
    <mergeCell ref="A43:C43"/>
    <mergeCell ref="B59:B63"/>
    <mergeCell ref="B44:B48"/>
    <mergeCell ref="B49:B53"/>
    <mergeCell ref="B54:B58"/>
    <mergeCell ref="A40:C40"/>
    <mergeCell ref="A4:A18"/>
    <mergeCell ref="B36:B38"/>
    <mergeCell ref="A24:A38"/>
    <mergeCell ref="A19:C19"/>
    <mergeCell ref="A20:C20"/>
    <mergeCell ref="B27:B29"/>
    <mergeCell ref="B30:B32"/>
    <mergeCell ref="A22:D22"/>
    <mergeCell ref="A39:C39"/>
    <mergeCell ref="A23:C23"/>
    <mergeCell ref="B10:B12"/>
    <mergeCell ref="B4:B6"/>
    <mergeCell ref="B16:B18"/>
    <mergeCell ref="A2:C2"/>
    <mergeCell ref="B7:B9"/>
    <mergeCell ref="B13:B15"/>
    <mergeCell ref="B33:B35"/>
    <mergeCell ref="B24:B26"/>
    <mergeCell ref="A3:C3"/>
  </mergeCells>
  <phoneticPr fontId="2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4" fitToHeight="8" orientation="portrait" horizontalDpi="4294967294" r:id="rId1"/>
  <headerFooter alignWithMargins="0"/>
  <rowBreaks count="3" manualBreakCount="3">
    <brk id="20" max="3" man="1"/>
    <brk id="41" max="16383" man="1"/>
    <brk id="78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view="pageBreakPreview" zoomScaleNormal="100" zoomScaleSheetLayoutView="100" workbookViewId="0">
      <pane xSplit="4" ySplit="4" topLeftCell="E5" activePane="bottomRight" state="frozen"/>
      <selection activeCell="D169" sqref="D169"/>
      <selection pane="topRight" activeCell="D169" sqref="D169"/>
      <selection pane="bottomLeft" activeCell="D169" sqref="D169"/>
      <selection pane="bottomRight" activeCell="A4" sqref="A4:D4"/>
    </sheetView>
  </sheetViews>
  <sheetFormatPr defaultRowHeight="16.5"/>
  <cols>
    <col min="1" max="1" width="20.21875" style="39" customWidth="1"/>
    <col min="2" max="3" width="9.77734375" style="39" customWidth="1"/>
    <col min="4" max="4" width="11.77734375" style="39" customWidth="1"/>
    <col min="5" max="5" width="50.77734375" style="81" customWidth="1"/>
    <col min="6" max="16384" width="8.88671875" style="39"/>
  </cols>
  <sheetData>
    <row r="1" spans="1:6" ht="27.75" customHeight="1">
      <c r="A1" s="524" t="s">
        <v>129</v>
      </c>
      <c r="B1" s="524"/>
      <c r="C1" s="524"/>
      <c r="D1" s="524"/>
      <c r="E1" s="525"/>
    </row>
    <row r="2" spans="1:6" s="82" customFormat="1" ht="25.5" customHeight="1">
      <c r="A2" s="90" t="s">
        <v>344</v>
      </c>
      <c r="B2" s="90"/>
      <c r="C2" s="90"/>
      <c r="D2" s="90"/>
      <c r="E2" s="91"/>
      <c r="F2" s="81"/>
    </row>
    <row r="3" spans="1:6" s="43" customFormat="1" ht="24.75" customHeight="1">
      <c r="A3" s="526" t="s">
        <v>343</v>
      </c>
      <c r="B3" s="526"/>
      <c r="C3" s="526"/>
      <c r="D3" s="526"/>
      <c r="E3" s="475"/>
      <c r="F3" s="39"/>
    </row>
    <row r="4" spans="1:6" s="43" customFormat="1" ht="54.95" customHeight="1">
      <c r="A4" s="527" t="s">
        <v>309</v>
      </c>
      <c r="B4" s="527"/>
      <c r="C4" s="527"/>
      <c r="D4" s="527"/>
      <c r="E4" s="75" t="str">
        <f>참여기술자!E$7</f>
        <v>A엔지니어링, B엔지니어링, C엔지니어링, D엔지니어링, E엔지니어링</v>
      </c>
      <c r="F4" s="204" t="s">
        <v>270</v>
      </c>
    </row>
    <row r="5" spans="1:6" s="47" customFormat="1" ht="27.95" customHeight="1">
      <c r="A5" s="479" t="s">
        <v>130</v>
      </c>
      <c r="B5" s="531" t="str">
        <f>입력!D31</f>
        <v>A엔지니어링</v>
      </c>
      <c r="C5" s="532"/>
      <c r="D5" s="67" t="s">
        <v>345</v>
      </c>
      <c r="E5" s="224" t="str">
        <f>입력!M31</f>
        <v>해당없음</v>
      </c>
      <c r="F5" s="16"/>
    </row>
    <row r="6" spans="1:6" s="47" customFormat="1" ht="27.95" customHeight="1">
      <c r="A6" s="479"/>
      <c r="B6" s="533"/>
      <c r="C6" s="534"/>
      <c r="D6" s="67" t="s">
        <v>172</v>
      </c>
      <c r="E6" s="146">
        <f>입력!N31</f>
        <v>0</v>
      </c>
      <c r="F6" s="16"/>
    </row>
    <row r="7" spans="1:6" s="49" customFormat="1" ht="27.95" customHeight="1">
      <c r="A7" s="480"/>
      <c r="B7" s="533"/>
      <c r="C7" s="534"/>
      <c r="D7" s="48" t="s">
        <v>173</v>
      </c>
      <c r="E7" s="116">
        <f>입력!E31</f>
        <v>0.7</v>
      </c>
      <c r="F7" s="58"/>
    </row>
    <row r="8" spans="1:6" s="47" customFormat="1" ht="27.95" customHeight="1">
      <c r="A8" s="480"/>
      <c r="B8" s="535"/>
      <c r="C8" s="536"/>
      <c r="D8" s="68" t="s">
        <v>174</v>
      </c>
      <c r="E8" s="51">
        <f>E6*E7</f>
        <v>0</v>
      </c>
      <c r="F8" s="16"/>
    </row>
    <row r="9" spans="1:6" s="47" customFormat="1" ht="27.95" customHeight="1">
      <c r="A9" s="480"/>
      <c r="B9" s="537" t="str">
        <f>입력!D32</f>
        <v>B엔지니어링</v>
      </c>
      <c r="C9" s="538"/>
      <c r="D9" s="278" t="s">
        <v>345</v>
      </c>
      <c r="E9" s="224" t="str">
        <f>입력!M32</f>
        <v>해당없음</v>
      </c>
      <c r="F9" s="16"/>
    </row>
    <row r="10" spans="1:6" s="47" customFormat="1" ht="27.95" customHeight="1">
      <c r="A10" s="480"/>
      <c r="B10" s="539"/>
      <c r="C10" s="540"/>
      <c r="D10" s="67" t="s">
        <v>172</v>
      </c>
      <c r="E10" s="146">
        <f>입력!N32</f>
        <v>0</v>
      </c>
      <c r="F10" s="16"/>
    </row>
    <row r="11" spans="1:6" s="49" customFormat="1" ht="27.95" customHeight="1">
      <c r="A11" s="480"/>
      <c r="B11" s="539"/>
      <c r="C11" s="540"/>
      <c r="D11" s="48" t="s">
        <v>173</v>
      </c>
      <c r="E11" s="116">
        <f>입력!E32</f>
        <v>0.3</v>
      </c>
      <c r="F11" s="58"/>
    </row>
    <row r="12" spans="1:6" s="47" customFormat="1" ht="27.95" customHeight="1">
      <c r="A12" s="480"/>
      <c r="B12" s="541"/>
      <c r="C12" s="542"/>
      <c r="D12" s="68" t="s">
        <v>175</v>
      </c>
      <c r="E12" s="51">
        <f>E10*E11</f>
        <v>0</v>
      </c>
      <c r="F12" s="16"/>
    </row>
    <row r="13" spans="1:6" s="47" customFormat="1" ht="27.95" customHeight="1">
      <c r="A13" s="480"/>
      <c r="B13" s="537" t="str">
        <f>입력!D33</f>
        <v>C엔지니어링</v>
      </c>
      <c r="C13" s="538"/>
      <c r="D13" s="278" t="s">
        <v>345</v>
      </c>
      <c r="E13" s="224">
        <f>입력!M33</f>
        <v>0</v>
      </c>
      <c r="F13" s="16"/>
    </row>
    <row r="14" spans="1:6" s="47" customFormat="1" ht="27.95" customHeight="1">
      <c r="A14" s="480"/>
      <c r="B14" s="539"/>
      <c r="C14" s="540"/>
      <c r="D14" s="67" t="s">
        <v>172</v>
      </c>
      <c r="E14" s="146">
        <f>입력!N33</f>
        <v>0</v>
      </c>
      <c r="F14" s="16"/>
    </row>
    <row r="15" spans="1:6" s="49" customFormat="1" ht="27.95" customHeight="1">
      <c r="A15" s="480"/>
      <c r="B15" s="539"/>
      <c r="C15" s="540"/>
      <c r="D15" s="48" t="s">
        <v>173</v>
      </c>
      <c r="E15" s="116">
        <f>입력!E33</f>
        <v>0</v>
      </c>
      <c r="F15" s="58"/>
    </row>
    <row r="16" spans="1:6" s="47" customFormat="1" ht="27.95" customHeight="1">
      <c r="A16" s="480"/>
      <c r="B16" s="541"/>
      <c r="C16" s="542"/>
      <c r="D16" s="68" t="s">
        <v>176</v>
      </c>
      <c r="E16" s="51">
        <f>E14*E15</f>
        <v>0</v>
      </c>
      <c r="F16" s="16"/>
    </row>
    <row r="17" spans="1:6" s="47" customFormat="1" ht="27.95" customHeight="1">
      <c r="A17" s="480"/>
      <c r="B17" s="537" t="str">
        <f>입력!D34</f>
        <v>D엔지니어링</v>
      </c>
      <c r="C17" s="538"/>
      <c r="D17" s="278" t="s">
        <v>345</v>
      </c>
      <c r="E17" s="224">
        <f>입력!M34</f>
        <v>0</v>
      </c>
      <c r="F17" s="16"/>
    </row>
    <row r="18" spans="1:6" s="47" customFormat="1" ht="27.95" customHeight="1">
      <c r="A18" s="480"/>
      <c r="B18" s="539"/>
      <c r="C18" s="540"/>
      <c r="D18" s="67" t="s">
        <v>172</v>
      </c>
      <c r="E18" s="146">
        <f>입력!N34</f>
        <v>0</v>
      </c>
      <c r="F18" s="16"/>
    </row>
    <row r="19" spans="1:6" s="49" customFormat="1" ht="27.95" customHeight="1">
      <c r="A19" s="480"/>
      <c r="B19" s="539"/>
      <c r="C19" s="540"/>
      <c r="D19" s="48" t="s">
        <v>173</v>
      </c>
      <c r="E19" s="116">
        <f>입력!E34</f>
        <v>0</v>
      </c>
      <c r="F19" s="58"/>
    </row>
    <row r="20" spans="1:6" s="47" customFormat="1" ht="27.95" customHeight="1">
      <c r="A20" s="480"/>
      <c r="B20" s="541"/>
      <c r="C20" s="542"/>
      <c r="D20" s="68" t="s">
        <v>177</v>
      </c>
      <c r="E20" s="51">
        <f>E18*E19</f>
        <v>0</v>
      </c>
      <c r="F20" s="16"/>
    </row>
    <row r="21" spans="1:6" s="47" customFormat="1" ht="27.95" customHeight="1">
      <c r="A21" s="480"/>
      <c r="B21" s="537" t="str">
        <f>입력!D35</f>
        <v>E엔지니어링</v>
      </c>
      <c r="C21" s="538"/>
      <c r="D21" s="278" t="s">
        <v>345</v>
      </c>
      <c r="E21" s="224">
        <f>입력!M35</f>
        <v>0</v>
      </c>
      <c r="F21" s="16"/>
    </row>
    <row r="22" spans="1:6" s="47" customFormat="1" ht="27.95" customHeight="1">
      <c r="A22" s="480"/>
      <c r="B22" s="539"/>
      <c r="C22" s="540"/>
      <c r="D22" s="67" t="s">
        <v>132</v>
      </c>
      <c r="E22" s="146">
        <f>입력!N35</f>
        <v>0</v>
      </c>
      <c r="F22" s="16"/>
    </row>
    <row r="23" spans="1:6" s="49" customFormat="1" ht="27.95" customHeight="1">
      <c r="A23" s="480"/>
      <c r="B23" s="539"/>
      <c r="C23" s="540"/>
      <c r="D23" s="48" t="s">
        <v>12</v>
      </c>
      <c r="E23" s="117">
        <f>입력!E35</f>
        <v>0</v>
      </c>
      <c r="F23" s="58"/>
    </row>
    <row r="24" spans="1:6" s="47" customFormat="1" ht="27.95" customHeight="1">
      <c r="A24" s="480"/>
      <c r="B24" s="541"/>
      <c r="C24" s="542"/>
      <c r="D24" s="68" t="s">
        <v>208</v>
      </c>
      <c r="E24" s="51">
        <f>E22*E23</f>
        <v>0</v>
      </c>
      <c r="F24" s="16"/>
    </row>
    <row r="25" spans="1:6" s="43" customFormat="1" ht="23.1" customHeight="1">
      <c r="A25" s="481"/>
      <c r="B25" s="478" t="s">
        <v>178</v>
      </c>
      <c r="C25" s="478"/>
      <c r="D25" s="478"/>
      <c r="E25" s="93">
        <f>SUM(E8,E12,E16,E20,E24)</f>
        <v>0</v>
      </c>
      <c r="F25" s="39"/>
    </row>
    <row r="26" spans="1:6" s="87" customFormat="1" ht="23.1" customHeight="1">
      <c r="A26" s="528" t="s">
        <v>133</v>
      </c>
      <c r="B26" s="529"/>
      <c r="C26" s="529"/>
      <c r="D26" s="529"/>
      <c r="E26" s="530"/>
      <c r="F26" s="81"/>
    </row>
    <row r="27" spans="1:6" s="87" customFormat="1" ht="54.95" customHeight="1">
      <c r="A27" s="490" t="str">
        <f>A4</f>
        <v xml:space="preserve">                                                             회사별
     구   분</v>
      </c>
      <c r="B27" s="490"/>
      <c r="C27" s="490"/>
      <c r="D27" s="490"/>
      <c r="E27" s="75" t="str">
        <f>참여기술자!E$7</f>
        <v>A엔지니어링, B엔지니어링, C엔지니어링, D엔지니어링, E엔지니어링</v>
      </c>
      <c r="F27" s="81"/>
    </row>
    <row r="28" spans="1:6" s="47" customFormat="1" ht="23.1" customHeight="1">
      <c r="A28" s="479" t="s">
        <v>130</v>
      </c>
      <c r="B28" s="507" t="s">
        <v>134</v>
      </c>
      <c r="C28" s="507"/>
      <c r="D28" s="507"/>
      <c r="E28" s="147" t="str">
        <f>입력!L14</f>
        <v>해당없음</v>
      </c>
      <c r="F28" s="16"/>
    </row>
    <row r="29" spans="1:6" s="47" customFormat="1" ht="23.1" customHeight="1">
      <c r="A29" s="480"/>
      <c r="B29" s="518" t="s">
        <v>135</v>
      </c>
      <c r="C29" s="519"/>
      <c r="D29" s="46" t="s">
        <v>136</v>
      </c>
      <c r="E29" s="147" t="str">
        <f>입력!L15</f>
        <v>해당없음</v>
      </c>
      <c r="F29" s="16"/>
    </row>
    <row r="30" spans="1:6" s="47" customFormat="1" ht="23.1" customHeight="1">
      <c r="A30" s="480"/>
      <c r="B30" s="520"/>
      <c r="C30" s="521"/>
      <c r="D30" s="50" t="s">
        <v>47</v>
      </c>
      <c r="E30" s="147" t="str">
        <f>입력!L16</f>
        <v>해당없음</v>
      </c>
      <c r="F30" s="16"/>
    </row>
    <row r="31" spans="1:6" s="47" customFormat="1" ht="23.1" customHeight="1">
      <c r="A31" s="480"/>
      <c r="B31" s="520"/>
      <c r="C31" s="521"/>
      <c r="D31" s="50" t="s">
        <v>44</v>
      </c>
      <c r="E31" s="147" t="str">
        <f>입력!L17</f>
        <v>해당없음</v>
      </c>
      <c r="F31" s="16"/>
    </row>
    <row r="32" spans="1:6" s="47" customFormat="1" ht="23.1" customHeight="1">
      <c r="A32" s="480"/>
      <c r="B32" s="522"/>
      <c r="C32" s="523"/>
      <c r="D32" s="50" t="s">
        <v>137</v>
      </c>
      <c r="E32" s="147" t="str">
        <f>입력!L18</f>
        <v>해당없음</v>
      </c>
      <c r="F32" s="16"/>
    </row>
    <row r="33" spans="1:6" s="47" customFormat="1" ht="23.1" customHeight="1">
      <c r="A33" s="506"/>
      <c r="B33" s="478" t="s">
        <v>132</v>
      </c>
      <c r="C33" s="478"/>
      <c r="D33" s="478"/>
      <c r="E33" s="94">
        <f>SUM(E28:E32)</f>
        <v>0</v>
      </c>
      <c r="F33" s="16"/>
    </row>
    <row r="34" spans="1:6" s="16" customFormat="1" ht="11.25" customHeight="1">
      <c r="A34" s="52"/>
      <c r="B34" s="30"/>
      <c r="C34" s="30"/>
      <c r="D34" s="30"/>
      <c r="E34" s="31"/>
    </row>
    <row r="35" spans="1:6" s="82" customFormat="1" ht="33" customHeight="1">
      <c r="A35" s="508" t="s">
        <v>138</v>
      </c>
      <c r="B35" s="508"/>
      <c r="C35" s="508"/>
      <c r="D35" s="508"/>
      <c r="E35" s="89"/>
      <c r="F35" s="81"/>
    </row>
    <row r="36" spans="1:6" s="87" customFormat="1" ht="33.75" customHeight="1">
      <c r="A36" s="509" t="s">
        <v>346</v>
      </c>
      <c r="B36" s="509"/>
      <c r="C36" s="509"/>
      <c r="D36" s="509"/>
      <c r="E36" s="88"/>
      <c r="F36" s="81"/>
    </row>
    <row r="37" spans="1:6" s="87" customFormat="1" ht="54.95" customHeight="1">
      <c r="A37" s="490" t="str">
        <f>A27</f>
        <v xml:space="preserve">                                                             회사별
     구   분</v>
      </c>
      <c r="B37" s="490"/>
      <c r="C37" s="490"/>
      <c r="D37" s="490"/>
      <c r="E37" s="75" t="str">
        <f>참여기술자!E$7</f>
        <v>A엔지니어링, B엔지니어링, C엔지니어링, D엔지니어링, E엔지니어링</v>
      </c>
      <c r="F37" s="81"/>
    </row>
    <row r="38" spans="1:6" s="16" customFormat="1" ht="36.950000000000003" customHeight="1">
      <c r="A38" s="500" t="s">
        <v>179</v>
      </c>
      <c r="B38" s="543" t="str">
        <f>입력!D31</f>
        <v>A엔지니어링</v>
      </c>
      <c r="C38" s="544"/>
      <c r="D38" s="67" t="s">
        <v>180</v>
      </c>
      <c r="E38" s="148">
        <f>입력!O31</f>
        <v>0.09</v>
      </c>
      <c r="F38" s="179"/>
    </row>
    <row r="39" spans="1:6" s="16" customFormat="1" ht="36.950000000000003" customHeight="1">
      <c r="A39" s="501"/>
      <c r="B39" s="545"/>
      <c r="C39" s="546"/>
      <c r="D39" s="67" t="s">
        <v>173</v>
      </c>
      <c r="E39" s="116">
        <f>'유사용역 '!D$5</f>
        <v>0.7</v>
      </c>
    </row>
    <row r="40" spans="1:6" s="16" customFormat="1" ht="36.950000000000003" customHeight="1">
      <c r="A40" s="501"/>
      <c r="B40" s="547"/>
      <c r="C40" s="548"/>
      <c r="D40" s="67" t="s">
        <v>181</v>
      </c>
      <c r="E40" s="118">
        <f>E38*E39</f>
        <v>6.3E-2</v>
      </c>
    </row>
    <row r="41" spans="1:6" s="16" customFormat="1" ht="36.950000000000003" customHeight="1">
      <c r="A41" s="501"/>
      <c r="B41" s="512" t="str">
        <f>입력!D32</f>
        <v>B엔지니어링</v>
      </c>
      <c r="C41" s="513"/>
      <c r="D41" s="67" t="s">
        <v>180</v>
      </c>
      <c r="E41" s="148">
        <f>입력!O32</f>
        <v>0</v>
      </c>
      <c r="F41" s="179"/>
    </row>
    <row r="42" spans="1:6" s="16" customFormat="1" ht="36.950000000000003" customHeight="1">
      <c r="A42" s="501"/>
      <c r="B42" s="514"/>
      <c r="C42" s="515"/>
      <c r="D42" s="67" t="s">
        <v>173</v>
      </c>
      <c r="E42" s="116">
        <f>'유사용역 '!D$8</f>
        <v>0.3</v>
      </c>
    </row>
    <row r="43" spans="1:6" s="16" customFormat="1" ht="36.950000000000003" customHeight="1">
      <c r="A43" s="501"/>
      <c r="B43" s="516"/>
      <c r="C43" s="517"/>
      <c r="D43" s="67" t="s">
        <v>182</v>
      </c>
      <c r="E43" s="118">
        <f>E41*E42</f>
        <v>0</v>
      </c>
    </row>
    <row r="44" spans="1:6" s="16" customFormat="1" ht="36.950000000000003" customHeight="1">
      <c r="A44" s="501"/>
      <c r="B44" s="512" t="str">
        <f>입력!D33</f>
        <v>C엔지니어링</v>
      </c>
      <c r="C44" s="513"/>
      <c r="D44" s="67" t="s">
        <v>180</v>
      </c>
      <c r="E44" s="148">
        <f>입력!O33</f>
        <v>0</v>
      </c>
      <c r="F44" s="179"/>
    </row>
    <row r="45" spans="1:6" s="16" customFormat="1" ht="36.950000000000003" customHeight="1">
      <c r="A45" s="501"/>
      <c r="B45" s="514"/>
      <c r="C45" s="515"/>
      <c r="D45" s="67" t="s">
        <v>173</v>
      </c>
      <c r="E45" s="116">
        <f>'유사용역 '!D$11</f>
        <v>0</v>
      </c>
    </row>
    <row r="46" spans="1:6" s="16" customFormat="1" ht="36.950000000000003" customHeight="1">
      <c r="A46" s="501"/>
      <c r="B46" s="516"/>
      <c r="C46" s="517"/>
      <c r="D46" s="67" t="s">
        <v>183</v>
      </c>
      <c r="E46" s="118">
        <f>E44*E45</f>
        <v>0</v>
      </c>
    </row>
    <row r="47" spans="1:6" s="16" customFormat="1" ht="36.950000000000003" customHeight="1">
      <c r="A47" s="501"/>
      <c r="B47" s="512" t="str">
        <f>입력!D34</f>
        <v>D엔지니어링</v>
      </c>
      <c r="C47" s="513"/>
      <c r="D47" s="67" t="s">
        <v>180</v>
      </c>
      <c r="E47" s="148">
        <f>입력!O34</f>
        <v>0</v>
      </c>
      <c r="F47" s="179"/>
    </row>
    <row r="48" spans="1:6" s="16" customFormat="1" ht="36.950000000000003" customHeight="1">
      <c r="A48" s="501"/>
      <c r="B48" s="514"/>
      <c r="C48" s="515"/>
      <c r="D48" s="67" t="s">
        <v>173</v>
      </c>
      <c r="E48" s="116">
        <f>'유사용역 '!D$14</f>
        <v>0</v>
      </c>
    </row>
    <row r="49" spans="1:6" s="16" customFormat="1" ht="36.950000000000003" customHeight="1">
      <c r="A49" s="501"/>
      <c r="B49" s="516"/>
      <c r="C49" s="517"/>
      <c r="D49" s="67" t="s">
        <v>184</v>
      </c>
      <c r="E49" s="118">
        <f>E47*E48</f>
        <v>0</v>
      </c>
    </row>
    <row r="50" spans="1:6" s="16" customFormat="1" ht="36.950000000000003" customHeight="1">
      <c r="A50" s="501"/>
      <c r="B50" s="512" t="str">
        <f>입력!D35</f>
        <v>E엔지니어링</v>
      </c>
      <c r="C50" s="513"/>
      <c r="D50" s="67" t="s">
        <v>14</v>
      </c>
      <c r="E50" s="148">
        <f>입력!O35</f>
        <v>0</v>
      </c>
      <c r="F50" s="179"/>
    </row>
    <row r="51" spans="1:6" s="16" customFormat="1" ht="36.950000000000003" customHeight="1">
      <c r="A51" s="501"/>
      <c r="B51" s="514"/>
      <c r="C51" s="515"/>
      <c r="D51" s="67" t="s">
        <v>12</v>
      </c>
      <c r="E51" s="116">
        <f>'유사용역 '!D$14</f>
        <v>0</v>
      </c>
    </row>
    <row r="52" spans="1:6" s="16" customFormat="1" ht="36.950000000000003" customHeight="1">
      <c r="A52" s="502"/>
      <c r="B52" s="516"/>
      <c r="C52" s="517"/>
      <c r="D52" s="67" t="s">
        <v>211</v>
      </c>
      <c r="E52" s="118">
        <f>E50*E51</f>
        <v>0</v>
      </c>
    </row>
    <row r="53" spans="1:6" ht="36.950000000000003" customHeight="1">
      <c r="A53" s="473" t="s">
        <v>212</v>
      </c>
      <c r="B53" s="473"/>
      <c r="C53" s="473"/>
      <c r="D53" s="473"/>
      <c r="E53" s="119">
        <f>SUM(E40,E43,E46,E49,E52)</f>
        <v>6.3E-2</v>
      </c>
    </row>
    <row r="54" spans="1:6" ht="36.950000000000003" customHeight="1">
      <c r="A54" s="510" t="s">
        <v>117</v>
      </c>
      <c r="B54" s="478"/>
      <c r="C54" s="478"/>
      <c r="D54" s="478"/>
      <c r="E54" s="93">
        <f>IF(E53&gt;=20,-5,IF(E53&gt;=15,-3,IF(E53&gt;=10,-2,IF(E53&gt;=5,-1,IF(E53&gt;=2,-0.5,IF(E53&gt;=1,-0.2,IF(E53&lt;1,0)))))))</f>
        <v>0</v>
      </c>
    </row>
    <row r="55" spans="1:6" s="87" customFormat="1" ht="22.5" customHeight="1">
      <c r="A55" s="511" t="s">
        <v>140</v>
      </c>
      <c r="B55" s="511"/>
      <c r="C55" s="511"/>
      <c r="D55" s="511"/>
      <c r="E55" s="88"/>
      <c r="F55" s="81"/>
    </row>
    <row r="56" spans="1:6" s="87" customFormat="1" ht="54.95" customHeight="1">
      <c r="A56" s="489" t="str">
        <f>A37</f>
        <v xml:space="preserve">                                                             회사별
     구   분</v>
      </c>
      <c r="B56" s="490"/>
      <c r="C56" s="490"/>
      <c r="D56" s="490"/>
      <c r="E56" s="75" t="str">
        <f>참여기술자!E$7</f>
        <v>A엔지니어링, B엔지니어링, C엔지니어링, D엔지니어링, E엔지니어링</v>
      </c>
      <c r="F56" s="81"/>
    </row>
    <row r="57" spans="1:6" ht="18" customHeight="1">
      <c r="A57" s="491" t="s">
        <v>301</v>
      </c>
      <c r="B57" s="494" t="s">
        <v>141</v>
      </c>
      <c r="C57" s="494" t="str">
        <f>참여기술자!C8</f>
        <v>A엔지니어링</v>
      </c>
      <c r="D57" s="68" t="s">
        <v>142</v>
      </c>
      <c r="E57" s="71" t="str">
        <f>참여기술자!E8</f>
        <v>홍길동1</v>
      </c>
    </row>
    <row r="58" spans="1:6" s="16" customFormat="1" ht="18" customHeight="1">
      <c r="A58" s="492"/>
      <c r="B58" s="495"/>
      <c r="C58" s="495"/>
      <c r="D58" s="68" t="s">
        <v>139</v>
      </c>
      <c r="E58" s="148">
        <f>입력!M14</f>
        <v>0</v>
      </c>
      <c r="F58" s="179"/>
    </row>
    <row r="59" spans="1:6" s="16" customFormat="1" ht="18" customHeight="1">
      <c r="A59" s="492"/>
      <c r="B59" s="496"/>
      <c r="C59" s="496"/>
      <c r="D59" s="68" t="s">
        <v>143</v>
      </c>
      <c r="E59" s="199">
        <f>IF(E58&lt;=0.99,0,IF(E58&lt;=1.99,-0.2,IF(E58&lt;=4.99,-0.5,IF(E58&lt;=9.99,-1,IF(E58&lt;=14.99,-2,IF(E58&lt;=19.99,-3,IF(E58&gt;=20,-5)))))))</f>
        <v>0</v>
      </c>
    </row>
    <row r="60" spans="1:6" s="16" customFormat="1" ht="18" customHeight="1">
      <c r="A60" s="492"/>
      <c r="B60" s="497" t="s">
        <v>144</v>
      </c>
      <c r="C60" s="498"/>
      <c r="D60" s="499"/>
      <c r="E60" s="71"/>
    </row>
    <row r="61" spans="1:6" s="16" customFormat="1" ht="18" customHeight="1">
      <c r="A61" s="492"/>
      <c r="B61" s="494" t="s">
        <v>265</v>
      </c>
      <c r="C61" s="494" t="str">
        <f>참여기술자!C27</f>
        <v>A엔지니어링</v>
      </c>
      <c r="D61" s="68" t="s">
        <v>142</v>
      </c>
      <c r="E61" s="71" t="str">
        <f>참여기술자!E27</f>
        <v>홍길동2</v>
      </c>
    </row>
    <row r="62" spans="1:6" s="16" customFormat="1" ht="18" customHeight="1">
      <c r="A62" s="492"/>
      <c r="B62" s="495"/>
      <c r="C62" s="495"/>
      <c r="D62" s="68" t="s">
        <v>139</v>
      </c>
      <c r="E62" s="148">
        <f>입력!M15</f>
        <v>0</v>
      </c>
      <c r="F62" s="179"/>
    </row>
    <row r="63" spans="1:6" s="16" customFormat="1" ht="18" customHeight="1">
      <c r="A63" s="492"/>
      <c r="B63" s="496"/>
      <c r="C63" s="496"/>
      <c r="D63" s="68" t="s">
        <v>143</v>
      </c>
      <c r="E63" s="51">
        <f>IF(E62&lt;=0.99,0,IF(E62&lt;=1.99,-0.2,IF(E62&lt;=4.99,-0.5,IF(E62&lt;=9.99,-1,IF(E62&lt;=14.99,-2,IF(E62&lt;=19.99,-3,IF(E62&gt;=20,-5)))))))</f>
        <v>0</v>
      </c>
    </row>
    <row r="64" spans="1:6" s="16" customFormat="1" ht="18" customHeight="1">
      <c r="A64" s="492"/>
      <c r="B64" s="494" t="s">
        <v>47</v>
      </c>
      <c r="C64" s="494" t="str">
        <f>참여기술자!C30</f>
        <v>A엔지니어링</v>
      </c>
      <c r="D64" s="68" t="s">
        <v>142</v>
      </c>
      <c r="E64" s="71" t="str">
        <f>참여기술자!E30</f>
        <v>홍길동3</v>
      </c>
    </row>
    <row r="65" spans="1:6" s="16" customFormat="1" ht="18" customHeight="1">
      <c r="A65" s="492"/>
      <c r="B65" s="495"/>
      <c r="C65" s="495"/>
      <c r="D65" s="68" t="s">
        <v>150</v>
      </c>
      <c r="E65" s="148">
        <f>입력!M16</f>
        <v>0</v>
      </c>
      <c r="F65" s="179"/>
    </row>
    <row r="66" spans="1:6" s="16" customFormat="1" ht="18" customHeight="1">
      <c r="A66" s="492"/>
      <c r="B66" s="496"/>
      <c r="C66" s="496"/>
      <c r="D66" s="68" t="s">
        <v>151</v>
      </c>
      <c r="E66" s="199">
        <f>IF(E65&lt;=0.99,0,IF(E65&lt;=1.99,-0.2,IF(E65&lt;=4.99,-0.5,IF(E65&lt;=9.99,-1,IF(E65&lt;=14.99,-2,IF(E65&lt;=19.99,-3,IF(E65&gt;=20,-5)))))))</f>
        <v>0</v>
      </c>
    </row>
    <row r="67" spans="1:6" s="16" customFormat="1" ht="18" customHeight="1">
      <c r="A67" s="492"/>
      <c r="B67" s="494" t="s">
        <v>44</v>
      </c>
      <c r="C67" s="494" t="str">
        <f>참여기술자!C33</f>
        <v>B엔지니어링</v>
      </c>
      <c r="D67" s="68" t="s">
        <v>152</v>
      </c>
      <c r="E67" s="71" t="str">
        <f>참여기술자!E33</f>
        <v>홍길동4</v>
      </c>
    </row>
    <row r="68" spans="1:6" s="16" customFormat="1" ht="18" customHeight="1">
      <c r="A68" s="492"/>
      <c r="B68" s="495"/>
      <c r="C68" s="495"/>
      <c r="D68" s="68" t="s">
        <v>139</v>
      </c>
      <c r="E68" s="148">
        <f>입력!M17</f>
        <v>0</v>
      </c>
      <c r="F68" s="179"/>
    </row>
    <row r="69" spans="1:6" s="16" customFormat="1" ht="18" customHeight="1">
      <c r="A69" s="492"/>
      <c r="B69" s="496"/>
      <c r="C69" s="496"/>
      <c r="D69" s="68" t="s">
        <v>143</v>
      </c>
      <c r="E69" s="199">
        <f>IF(E68&lt;=0.99,0,IF(E68&lt;=1.99,-0.2,IF(E68&lt;=4.99,-0.5,IF(E68&lt;=9.99,-1,IF(E68&lt;=14.99,-2,IF(E68&lt;=19.99,-3,IF(E68&gt;=20,-5)))))))</f>
        <v>0</v>
      </c>
    </row>
    <row r="70" spans="1:6" s="16" customFormat="1" ht="18" customHeight="1">
      <c r="A70" s="492"/>
      <c r="B70" s="494" t="s">
        <v>137</v>
      </c>
      <c r="C70" s="494" t="str">
        <f>참여기술자!C36</f>
        <v>B엔지니어링</v>
      </c>
      <c r="D70" s="68" t="s">
        <v>142</v>
      </c>
      <c r="E70" s="71" t="str">
        <f>참여기술자!E36</f>
        <v>홍길동5</v>
      </c>
    </row>
    <row r="71" spans="1:6" s="16" customFormat="1" ht="18" customHeight="1">
      <c r="A71" s="492"/>
      <c r="B71" s="495"/>
      <c r="C71" s="495"/>
      <c r="D71" s="68" t="s">
        <v>139</v>
      </c>
      <c r="E71" s="148">
        <f>입력!M18</f>
        <v>0</v>
      </c>
      <c r="F71" s="179"/>
    </row>
    <row r="72" spans="1:6" s="16" customFormat="1" ht="18" customHeight="1">
      <c r="A72" s="493"/>
      <c r="B72" s="496"/>
      <c r="C72" s="496"/>
      <c r="D72" s="68" t="s">
        <v>143</v>
      </c>
      <c r="E72" s="199">
        <f>IF(E71&lt;=0.99,0,IF(E71&lt;=1.99,-0.2,IF(E71&lt;=4.99,-0.5,IF(E71&lt;=9.99,-1,IF(E71&lt;=14.99,-2,IF(E71&lt;=19.99,-3,IF(E71&gt;=20,-5)))))))</f>
        <v>0</v>
      </c>
    </row>
    <row r="73" spans="1:6" s="16" customFormat="1" ht="18" customHeight="1">
      <c r="A73" s="491" t="s">
        <v>301</v>
      </c>
      <c r="B73" s="497" t="s">
        <v>145</v>
      </c>
      <c r="C73" s="498"/>
      <c r="D73" s="499"/>
      <c r="E73" s="71"/>
    </row>
    <row r="74" spans="1:6" s="16" customFormat="1" ht="18" customHeight="1">
      <c r="A74" s="492"/>
      <c r="B74" s="494" t="str">
        <f>B61</f>
        <v>수자원</v>
      </c>
      <c r="C74" s="494" t="str">
        <f>참여기술자!C76</f>
        <v>A엔지니어링</v>
      </c>
      <c r="D74" s="68" t="s">
        <v>142</v>
      </c>
      <c r="E74" s="71" t="str">
        <f>참여기술자!E76</f>
        <v>홍길동6</v>
      </c>
    </row>
    <row r="75" spans="1:6" s="16" customFormat="1" ht="18" customHeight="1">
      <c r="A75" s="492"/>
      <c r="B75" s="495"/>
      <c r="C75" s="495"/>
      <c r="D75" s="68" t="s">
        <v>139</v>
      </c>
      <c r="E75" s="148">
        <f>입력!M19</f>
        <v>0</v>
      </c>
      <c r="F75" s="179"/>
    </row>
    <row r="76" spans="1:6" s="16" customFormat="1" ht="18" customHeight="1">
      <c r="A76" s="492"/>
      <c r="B76" s="496"/>
      <c r="C76" s="496"/>
      <c r="D76" s="68" t="s">
        <v>143</v>
      </c>
      <c r="E76" s="199">
        <f>IF(E75&lt;=0.99,0,IF(E75&lt;=1.99,-0.2,IF(E75&lt;=4.99,-0.5,IF(E75&lt;=9.99,-1,IF(E75&lt;=14.99,-2,IF(E75&lt;=19.99,-3,IF(E75&gt;=20,-5)))))))</f>
        <v>0</v>
      </c>
    </row>
    <row r="77" spans="1:6" s="16" customFormat="1" ht="18" customHeight="1">
      <c r="A77" s="492"/>
      <c r="B77" s="494" t="s">
        <v>47</v>
      </c>
      <c r="C77" s="494" t="str">
        <f>참여기술자!C79</f>
        <v>B엔지니어링</v>
      </c>
      <c r="D77" s="68" t="s">
        <v>142</v>
      </c>
      <c r="E77" s="71" t="str">
        <f>참여기술자!E79</f>
        <v>홍길동7</v>
      </c>
    </row>
    <row r="78" spans="1:6" s="16" customFormat="1" ht="18" customHeight="1">
      <c r="A78" s="492"/>
      <c r="B78" s="495"/>
      <c r="C78" s="495"/>
      <c r="D78" s="68" t="s">
        <v>139</v>
      </c>
      <c r="E78" s="148">
        <f>입력!M20</f>
        <v>0</v>
      </c>
      <c r="F78" s="179"/>
    </row>
    <row r="79" spans="1:6" s="16" customFormat="1" ht="18" customHeight="1">
      <c r="A79" s="492"/>
      <c r="B79" s="496"/>
      <c r="C79" s="496"/>
      <c r="D79" s="68" t="s">
        <v>143</v>
      </c>
      <c r="E79" s="199">
        <f>IF(E78&lt;=0.99,0,IF(E78&lt;=1.99,-0.2,IF(E78&lt;=4.99,-0.5,IF(E78&lt;=9.99,-1,IF(E78&lt;=14.99,-2,IF(E78&lt;=19.99,-3,IF(E78&gt;=20,-5)))))))</f>
        <v>0</v>
      </c>
    </row>
    <row r="80" spans="1:6" s="16" customFormat="1" ht="18" customHeight="1">
      <c r="A80" s="492"/>
      <c r="B80" s="494" t="s">
        <v>44</v>
      </c>
      <c r="C80" s="494" t="str">
        <f>참여기술자!C82</f>
        <v>A엔지니어링</v>
      </c>
      <c r="D80" s="68" t="s">
        <v>142</v>
      </c>
      <c r="E80" s="71" t="str">
        <f>참여기술자!E82</f>
        <v>홍길동8</v>
      </c>
    </row>
    <row r="81" spans="1:6" s="16" customFormat="1" ht="18" customHeight="1">
      <c r="A81" s="492"/>
      <c r="B81" s="495"/>
      <c r="C81" s="495"/>
      <c r="D81" s="68" t="s">
        <v>139</v>
      </c>
      <c r="E81" s="148">
        <f>입력!M21</f>
        <v>0</v>
      </c>
      <c r="F81" s="179"/>
    </row>
    <row r="82" spans="1:6" s="16" customFormat="1" ht="18" customHeight="1">
      <c r="A82" s="492"/>
      <c r="B82" s="496"/>
      <c r="C82" s="496"/>
      <c r="D82" s="68" t="s">
        <v>143</v>
      </c>
      <c r="E82" s="199">
        <f>IF(E81&lt;=0.99,0,IF(E81&lt;=1.99,-0.2,IF(E81&lt;=4.99,-0.5,IF(E81&lt;=9.99,-1,IF(E81&lt;=14.99,-2,IF(E81&lt;=19.99,-3,IF(E81&gt;=20,-5)))))))</f>
        <v>0</v>
      </c>
    </row>
    <row r="83" spans="1:6" s="16" customFormat="1" ht="18" customHeight="1">
      <c r="A83" s="492"/>
      <c r="B83" s="494" t="s">
        <v>137</v>
      </c>
      <c r="C83" s="494" t="str">
        <f>참여기술자!C85</f>
        <v>A엔지니어링</v>
      </c>
      <c r="D83" s="68" t="s">
        <v>142</v>
      </c>
      <c r="E83" s="71" t="str">
        <f>참여기술자!E85</f>
        <v>홍길동9</v>
      </c>
    </row>
    <row r="84" spans="1:6" s="16" customFormat="1" ht="18" customHeight="1">
      <c r="A84" s="492"/>
      <c r="B84" s="495"/>
      <c r="C84" s="495"/>
      <c r="D84" s="68" t="s">
        <v>139</v>
      </c>
      <c r="E84" s="148">
        <f>입력!M22</f>
        <v>0</v>
      </c>
      <c r="F84" s="179"/>
    </row>
    <row r="85" spans="1:6" s="16" customFormat="1" ht="18" customHeight="1">
      <c r="A85" s="493"/>
      <c r="B85" s="496"/>
      <c r="C85" s="496"/>
      <c r="D85" s="68" t="s">
        <v>143</v>
      </c>
      <c r="E85" s="199">
        <f>IF(E84&lt;=0.99,0,IF(E84&lt;=1.99,-0.2,IF(E84&lt;=4.99,-0.5,IF(E84&lt;=9.99,-1,IF(E84&lt;=14.99,-2,IF(E84&lt;=19.99,-3,IF(E84&gt;=20,-5)))))))</f>
        <v>0</v>
      </c>
    </row>
    <row r="86" spans="1:6" s="95" customFormat="1" ht="27.75" customHeight="1">
      <c r="A86" s="482" t="s">
        <v>146</v>
      </c>
      <c r="B86" s="483"/>
      <c r="C86" s="483"/>
      <c r="D86" s="484"/>
      <c r="E86" s="93">
        <f>SUM(E59,E63,E66,E69,E72,E76,E79,E82,E85)</f>
        <v>0</v>
      </c>
    </row>
    <row r="87" spans="1:6" s="95" customFormat="1" ht="27.75" customHeight="1">
      <c r="A87" s="482" t="s">
        <v>147</v>
      </c>
      <c r="B87" s="483"/>
      <c r="C87" s="483"/>
      <c r="D87" s="484"/>
      <c r="E87" s="93">
        <f>7+E86+E54+E33+E25</f>
        <v>7</v>
      </c>
    </row>
    <row r="88" spans="1:6" ht="12" customHeight="1">
      <c r="A88" s="53"/>
      <c r="B88" s="53"/>
      <c r="C88" s="53"/>
      <c r="D88" s="53"/>
      <c r="E88" s="54"/>
    </row>
    <row r="89" spans="1:6" s="82" customFormat="1" ht="36" customHeight="1">
      <c r="A89" s="485" t="s">
        <v>148</v>
      </c>
      <c r="B89" s="485"/>
      <c r="C89" s="485"/>
      <c r="D89" s="485"/>
      <c r="E89" s="92"/>
      <c r="F89" s="81"/>
    </row>
    <row r="90" spans="1:6" s="87" customFormat="1" ht="54.95" customHeight="1">
      <c r="A90" s="486" t="str">
        <f>A4</f>
        <v xml:space="preserve">                                                             회사별
     구   분</v>
      </c>
      <c r="B90" s="487"/>
      <c r="C90" s="487"/>
      <c r="D90" s="488"/>
      <c r="E90" s="75" t="str">
        <f>참여기술자!E$7</f>
        <v>A엔지니어링, B엔지니어링, C엔지니어링, D엔지니어링, E엔지니어링</v>
      </c>
      <c r="F90" s="81"/>
    </row>
    <row r="91" spans="1:6" s="16" customFormat="1" ht="30" customHeight="1">
      <c r="A91" s="503" t="s">
        <v>207</v>
      </c>
      <c r="B91" s="531" t="str">
        <f>입력!D31</f>
        <v>A엔지니어링</v>
      </c>
      <c r="C91" s="532"/>
      <c r="D91" s="67" t="s">
        <v>153</v>
      </c>
      <c r="E91" s="149" t="str">
        <f>입력!P31</f>
        <v>A-</v>
      </c>
      <c r="F91" s="179"/>
    </row>
    <row r="92" spans="1:6" s="16" customFormat="1" ht="30" customHeight="1">
      <c r="A92" s="504"/>
      <c r="B92" s="533"/>
      <c r="C92" s="534"/>
      <c r="D92" s="67" t="s">
        <v>20</v>
      </c>
      <c r="E92" s="150">
        <f>입력!Q31</f>
        <v>3</v>
      </c>
      <c r="F92" s="179"/>
    </row>
    <row r="93" spans="1:6" s="16" customFormat="1" ht="30" customHeight="1">
      <c r="A93" s="504"/>
      <c r="B93" s="533"/>
      <c r="C93" s="534"/>
      <c r="D93" s="67" t="s">
        <v>154</v>
      </c>
      <c r="E93" s="116">
        <f>'유사용역 '!D$5</f>
        <v>0.7</v>
      </c>
    </row>
    <row r="94" spans="1:6" s="16" customFormat="1" ht="30" customHeight="1">
      <c r="A94" s="504"/>
      <c r="B94" s="535"/>
      <c r="C94" s="536"/>
      <c r="D94" s="67" t="s">
        <v>155</v>
      </c>
      <c r="E94" s="120">
        <f>E92*E93</f>
        <v>2.0999999999999996</v>
      </c>
    </row>
    <row r="95" spans="1:6" s="16" customFormat="1" ht="30" customHeight="1">
      <c r="A95" s="504"/>
      <c r="B95" s="537" t="str">
        <f>입력!D32</f>
        <v>B엔지니어링</v>
      </c>
      <c r="C95" s="538"/>
      <c r="D95" s="67" t="s">
        <v>156</v>
      </c>
      <c r="E95" s="151" t="str">
        <f>입력!P32</f>
        <v>BB+</v>
      </c>
      <c r="F95" s="179"/>
    </row>
    <row r="96" spans="1:6" s="16" customFormat="1" ht="30" customHeight="1">
      <c r="A96" s="504"/>
      <c r="B96" s="539"/>
      <c r="C96" s="540"/>
      <c r="D96" s="67" t="s">
        <v>157</v>
      </c>
      <c r="E96" s="152">
        <f>입력!Q32</f>
        <v>2.8</v>
      </c>
      <c r="F96" s="179"/>
    </row>
    <row r="97" spans="1:6" s="16" customFormat="1" ht="30" customHeight="1">
      <c r="A97" s="504"/>
      <c r="B97" s="539"/>
      <c r="C97" s="540"/>
      <c r="D97" s="67" t="s">
        <v>158</v>
      </c>
      <c r="E97" s="116">
        <f>'유사용역 '!D$8</f>
        <v>0.3</v>
      </c>
    </row>
    <row r="98" spans="1:6" s="16" customFormat="1" ht="30" customHeight="1">
      <c r="A98" s="504"/>
      <c r="B98" s="541"/>
      <c r="C98" s="542"/>
      <c r="D98" s="67" t="s">
        <v>159</v>
      </c>
      <c r="E98" s="121">
        <f>E96*E97</f>
        <v>0.84</v>
      </c>
    </row>
    <row r="99" spans="1:6" s="16" customFormat="1" ht="30" customHeight="1">
      <c r="A99" s="504"/>
      <c r="B99" s="537" t="str">
        <f>입력!D33</f>
        <v>C엔지니어링</v>
      </c>
      <c r="C99" s="538"/>
      <c r="D99" s="67" t="s">
        <v>156</v>
      </c>
      <c r="E99" s="149">
        <f>입력!P33</f>
        <v>0</v>
      </c>
      <c r="F99" s="179"/>
    </row>
    <row r="100" spans="1:6" s="16" customFormat="1" ht="30" customHeight="1">
      <c r="A100" s="504"/>
      <c r="B100" s="539"/>
      <c r="C100" s="540"/>
      <c r="D100" s="67" t="s">
        <v>157</v>
      </c>
      <c r="E100" s="150">
        <f>입력!Q33</f>
        <v>0</v>
      </c>
      <c r="F100" s="179"/>
    </row>
    <row r="101" spans="1:6" s="16" customFormat="1" ht="30" customHeight="1">
      <c r="A101" s="504"/>
      <c r="B101" s="539"/>
      <c r="C101" s="540"/>
      <c r="D101" s="67" t="s">
        <v>158</v>
      </c>
      <c r="E101" s="116">
        <f>'유사용역 '!D$11</f>
        <v>0</v>
      </c>
    </row>
    <row r="102" spans="1:6" s="16" customFormat="1" ht="30" customHeight="1">
      <c r="A102" s="504"/>
      <c r="B102" s="541"/>
      <c r="C102" s="542"/>
      <c r="D102" s="67" t="s">
        <v>160</v>
      </c>
      <c r="E102" s="120">
        <f>E100*E101</f>
        <v>0</v>
      </c>
    </row>
    <row r="103" spans="1:6" s="16" customFormat="1" ht="30" customHeight="1">
      <c r="A103" s="504"/>
      <c r="B103" s="537" t="str">
        <f>입력!D34</f>
        <v>D엔지니어링</v>
      </c>
      <c r="C103" s="538"/>
      <c r="D103" s="67" t="s">
        <v>161</v>
      </c>
      <c r="E103" s="149">
        <f>입력!P34</f>
        <v>0</v>
      </c>
      <c r="F103" s="179"/>
    </row>
    <row r="104" spans="1:6" s="16" customFormat="1" ht="30" customHeight="1">
      <c r="A104" s="504"/>
      <c r="B104" s="539"/>
      <c r="C104" s="540"/>
      <c r="D104" s="67" t="s">
        <v>162</v>
      </c>
      <c r="E104" s="150">
        <f>입력!Q34</f>
        <v>0</v>
      </c>
      <c r="F104" s="179"/>
    </row>
    <row r="105" spans="1:6" s="16" customFormat="1" ht="30" customHeight="1">
      <c r="A105" s="504"/>
      <c r="B105" s="539"/>
      <c r="C105" s="540"/>
      <c r="D105" s="67" t="s">
        <v>154</v>
      </c>
      <c r="E105" s="116">
        <f>'유사용역 '!D$14</f>
        <v>0</v>
      </c>
    </row>
    <row r="106" spans="1:6" s="16" customFormat="1" ht="30" customHeight="1">
      <c r="A106" s="504"/>
      <c r="B106" s="541"/>
      <c r="C106" s="542"/>
      <c r="D106" s="67" t="s">
        <v>163</v>
      </c>
      <c r="E106" s="120">
        <f>E104*E105</f>
        <v>0</v>
      </c>
    </row>
    <row r="107" spans="1:6" s="16" customFormat="1" ht="30" customHeight="1">
      <c r="A107" s="504"/>
      <c r="B107" s="537" t="str">
        <f>입력!D35</f>
        <v>E엔지니어링</v>
      </c>
      <c r="C107" s="538"/>
      <c r="D107" s="72" t="s">
        <v>153</v>
      </c>
      <c r="E107" s="149">
        <f>입력!P35</f>
        <v>0</v>
      </c>
      <c r="F107" s="179"/>
    </row>
    <row r="108" spans="1:6" s="16" customFormat="1" ht="30" customHeight="1">
      <c r="A108" s="504"/>
      <c r="B108" s="539"/>
      <c r="C108" s="540"/>
      <c r="D108" s="72" t="s">
        <v>20</v>
      </c>
      <c r="E108" s="150">
        <f>입력!Q35</f>
        <v>0</v>
      </c>
      <c r="F108" s="179"/>
    </row>
    <row r="109" spans="1:6" s="16" customFormat="1" ht="30" customHeight="1">
      <c r="A109" s="504"/>
      <c r="B109" s="539"/>
      <c r="C109" s="540"/>
      <c r="D109" s="72" t="s">
        <v>12</v>
      </c>
      <c r="E109" s="116">
        <f>'유사용역 '!D$17</f>
        <v>0</v>
      </c>
    </row>
    <row r="110" spans="1:6" s="16" customFormat="1" ht="30" customHeight="1">
      <c r="A110" s="505"/>
      <c r="B110" s="541"/>
      <c r="C110" s="542"/>
      <c r="D110" s="72" t="s">
        <v>213</v>
      </c>
      <c r="E110" s="120">
        <f>E108*E109</f>
        <v>0</v>
      </c>
    </row>
    <row r="111" spans="1:6" s="96" customFormat="1" ht="30" customHeight="1">
      <c r="A111" s="478" t="s">
        <v>214</v>
      </c>
      <c r="B111" s="478"/>
      <c r="C111" s="478"/>
      <c r="D111" s="478"/>
      <c r="E111" s="93">
        <f>SUM(E94,E98,E102,E106)</f>
        <v>2.9399999999999995</v>
      </c>
      <c r="F111" s="95"/>
    </row>
  </sheetData>
  <sheetProtection algorithmName="SHA-512" hashValue="ze2Lk7OC3TL+NgsHxcDct2Cc2N8xrEVARPD2DPhEkpzq7uZ6rlnXexA2JxEuDjCESf1Qji5zoZSLRdAibP6hhQ==" saltValue="kZjvJDo5X9O1SsGcb//ohA==" spinCount="100000" sheet="1" objects="1" scenarios="1"/>
  <mergeCells count="62">
    <mergeCell ref="B95:C98"/>
    <mergeCell ref="B99:C102"/>
    <mergeCell ref="B103:C106"/>
    <mergeCell ref="B107:C110"/>
    <mergeCell ref="C74:C76"/>
    <mergeCell ref="C77:C79"/>
    <mergeCell ref="C80:C82"/>
    <mergeCell ref="C83:C85"/>
    <mergeCell ref="B91:C94"/>
    <mergeCell ref="C57:C59"/>
    <mergeCell ref="C61:C63"/>
    <mergeCell ref="C64:C66"/>
    <mergeCell ref="C67:C69"/>
    <mergeCell ref="C70:C72"/>
    <mergeCell ref="B38:C40"/>
    <mergeCell ref="B41:C43"/>
    <mergeCell ref="B44:C46"/>
    <mergeCell ref="B47:C49"/>
    <mergeCell ref="A37:D37"/>
    <mergeCell ref="A1:E1"/>
    <mergeCell ref="A3:E3"/>
    <mergeCell ref="A4:D4"/>
    <mergeCell ref="A26:E26"/>
    <mergeCell ref="A27:D27"/>
    <mergeCell ref="B25:D25"/>
    <mergeCell ref="B5:C8"/>
    <mergeCell ref="B9:C12"/>
    <mergeCell ref="B13:C16"/>
    <mergeCell ref="B17:C20"/>
    <mergeCell ref="B21:C24"/>
    <mergeCell ref="A91:A110"/>
    <mergeCell ref="A28:A33"/>
    <mergeCell ref="B28:D28"/>
    <mergeCell ref="B33:D33"/>
    <mergeCell ref="A35:D35"/>
    <mergeCell ref="A36:D36"/>
    <mergeCell ref="A53:D53"/>
    <mergeCell ref="A54:D54"/>
    <mergeCell ref="A55:D55"/>
    <mergeCell ref="B83:B85"/>
    <mergeCell ref="B61:B63"/>
    <mergeCell ref="B64:B66"/>
    <mergeCell ref="B67:B69"/>
    <mergeCell ref="B70:B72"/>
    <mergeCell ref="B50:C52"/>
    <mergeCell ref="B29:C32"/>
    <mergeCell ref="A111:D111"/>
    <mergeCell ref="A5:A25"/>
    <mergeCell ref="A86:D86"/>
    <mergeCell ref="A87:D87"/>
    <mergeCell ref="A89:D89"/>
    <mergeCell ref="A90:D90"/>
    <mergeCell ref="A56:D56"/>
    <mergeCell ref="A57:A72"/>
    <mergeCell ref="B57:B59"/>
    <mergeCell ref="B60:D60"/>
    <mergeCell ref="A38:A52"/>
    <mergeCell ref="A73:A85"/>
    <mergeCell ref="B73:D73"/>
    <mergeCell ref="B74:B76"/>
    <mergeCell ref="B77:B79"/>
    <mergeCell ref="B80:B82"/>
  </mergeCells>
  <phoneticPr fontId="2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5" fitToHeight="14" orientation="portrait" horizontalDpi="4294967294" r:id="rId1"/>
  <headerFooter alignWithMargins="0"/>
  <rowBreaks count="4" manualBreakCount="4">
    <brk id="25" max="16383" man="1"/>
    <brk id="34" max="3" man="1"/>
    <brk id="54" max="3" man="1"/>
    <brk id="87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view="pageBreakPreview" zoomScaleNormal="100" zoomScaleSheetLayoutView="100" workbookViewId="0">
      <pane xSplit="3" ySplit="3" topLeftCell="D4" activePane="bottomRight" state="frozen"/>
      <selection activeCell="D169" sqref="D169"/>
      <selection pane="topRight" activeCell="D169" sqref="D169"/>
      <selection pane="bottomLeft" activeCell="D169" sqref="D169"/>
      <selection pane="bottomRight" activeCell="A2" sqref="A2:D2"/>
    </sheetView>
  </sheetViews>
  <sheetFormatPr defaultRowHeight="16.5"/>
  <cols>
    <col min="1" max="1" width="20.109375" style="39" customWidth="1"/>
    <col min="2" max="2" width="8.88671875" style="39" customWidth="1"/>
    <col min="3" max="3" width="11" style="39" customWidth="1"/>
    <col min="4" max="4" width="50.77734375" style="81" customWidth="1"/>
    <col min="5" max="16384" width="8.88671875" style="39"/>
  </cols>
  <sheetData>
    <row r="1" spans="1:5" ht="32.25" customHeight="1">
      <c r="A1" s="13" t="s">
        <v>88</v>
      </c>
      <c r="B1" s="13"/>
      <c r="C1" s="13"/>
      <c r="D1" s="91"/>
    </row>
    <row r="2" spans="1:5" s="45" customFormat="1" ht="30" customHeight="1">
      <c r="A2" s="553" t="s">
        <v>89</v>
      </c>
      <c r="B2" s="553"/>
      <c r="C2" s="553"/>
      <c r="D2" s="553"/>
      <c r="E2" s="39"/>
    </row>
    <row r="3" spans="1:5" s="43" customFormat="1" ht="54.95" customHeight="1">
      <c r="A3" s="554" t="s">
        <v>310</v>
      </c>
      <c r="B3" s="554"/>
      <c r="C3" s="554"/>
      <c r="D3" s="75" t="str">
        <f>참여기술자!E$7</f>
        <v>A엔지니어링, B엔지니어링, C엔지니어링, D엔지니어링, E엔지니어링</v>
      </c>
      <c r="E3" s="204" t="s">
        <v>270</v>
      </c>
    </row>
    <row r="4" spans="1:5" s="16" customFormat="1" ht="21.95" customHeight="1">
      <c r="A4" s="500" t="s">
        <v>90</v>
      </c>
      <c r="B4" s="550" t="str">
        <f>입력!D31</f>
        <v>A엔지니어링</v>
      </c>
      <c r="C4" s="140" t="s">
        <v>91</v>
      </c>
      <c r="D4" s="271">
        <f>입력!R31</f>
        <v>0</v>
      </c>
      <c r="E4" s="179"/>
    </row>
    <row r="5" spans="1:5" s="16" customFormat="1" ht="21.95" customHeight="1">
      <c r="A5" s="501"/>
      <c r="B5" s="551"/>
      <c r="C5" s="141" t="s">
        <v>92</v>
      </c>
      <c r="D5" s="271">
        <f>입력!S31</f>
        <v>8</v>
      </c>
      <c r="E5" s="179"/>
    </row>
    <row r="6" spans="1:5" s="16" customFormat="1" ht="21.95" customHeight="1">
      <c r="A6" s="501"/>
      <c r="B6" s="551"/>
      <c r="C6" s="141" t="s">
        <v>93</v>
      </c>
      <c r="D6" s="271">
        <f>입력!T31</f>
        <v>0</v>
      </c>
      <c r="E6" s="179"/>
    </row>
    <row r="7" spans="1:5" s="16" customFormat="1" ht="21.95" customHeight="1">
      <c r="A7" s="501"/>
      <c r="B7" s="551"/>
      <c r="C7" s="62" t="s">
        <v>94</v>
      </c>
      <c r="D7" s="122">
        <f>SUM(D4:D6)</f>
        <v>8</v>
      </c>
    </row>
    <row r="8" spans="1:5" s="16" customFormat="1" ht="21.95" customHeight="1">
      <c r="A8" s="501"/>
      <c r="B8" s="551"/>
      <c r="C8" s="62" t="s">
        <v>86</v>
      </c>
      <c r="D8" s="116">
        <f>'유사용역 '!$D$5</f>
        <v>0.7</v>
      </c>
    </row>
    <row r="9" spans="1:5" s="16" customFormat="1" ht="21.95" customHeight="1">
      <c r="A9" s="501"/>
      <c r="B9" s="551"/>
      <c r="C9" s="62" t="s">
        <v>95</v>
      </c>
      <c r="D9" s="122">
        <f>D7*D8</f>
        <v>5.6</v>
      </c>
    </row>
    <row r="10" spans="1:5" s="16" customFormat="1" ht="21.95" customHeight="1">
      <c r="A10" s="501"/>
      <c r="B10" s="550" t="str">
        <f>입력!D32</f>
        <v>B엔지니어링</v>
      </c>
      <c r="C10" s="140" t="s">
        <v>91</v>
      </c>
      <c r="D10" s="271">
        <f>입력!R32</f>
        <v>0</v>
      </c>
    </row>
    <row r="11" spans="1:5" s="16" customFormat="1" ht="21.95" customHeight="1">
      <c r="A11" s="501"/>
      <c r="B11" s="551"/>
      <c r="C11" s="141" t="s">
        <v>92</v>
      </c>
      <c r="D11" s="271">
        <f>입력!S32</f>
        <v>0</v>
      </c>
    </row>
    <row r="12" spans="1:5" s="16" customFormat="1" ht="21.95" customHeight="1">
      <c r="A12" s="501"/>
      <c r="B12" s="551"/>
      <c r="C12" s="141" t="s">
        <v>93</v>
      </c>
      <c r="D12" s="271">
        <f>입력!T32</f>
        <v>0</v>
      </c>
    </row>
    <row r="13" spans="1:5" s="16" customFormat="1" ht="21.95" customHeight="1">
      <c r="A13" s="501"/>
      <c r="B13" s="551"/>
      <c r="C13" s="62" t="s">
        <v>94</v>
      </c>
      <c r="D13" s="122">
        <f>SUM(D10:D12)</f>
        <v>0</v>
      </c>
    </row>
    <row r="14" spans="1:5" s="16" customFormat="1" ht="21.95" customHeight="1">
      <c r="A14" s="501"/>
      <c r="B14" s="551"/>
      <c r="C14" s="62" t="s">
        <v>86</v>
      </c>
      <c r="D14" s="116">
        <f>'유사용역 '!$D$8</f>
        <v>0.3</v>
      </c>
    </row>
    <row r="15" spans="1:5" s="16" customFormat="1" ht="21.95" customHeight="1">
      <c r="A15" s="501"/>
      <c r="B15" s="551"/>
      <c r="C15" s="62" t="s">
        <v>96</v>
      </c>
      <c r="D15" s="122">
        <f>D13*D14</f>
        <v>0</v>
      </c>
    </row>
    <row r="16" spans="1:5" s="16" customFormat="1" ht="21.95" customHeight="1">
      <c r="A16" s="501"/>
      <c r="B16" s="550" t="str">
        <f>입력!D33</f>
        <v>C엔지니어링</v>
      </c>
      <c r="C16" s="140" t="s">
        <v>97</v>
      </c>
      <c r="D16" s="271">
        <f>입력!R33</f>
        <v>2</v>
      </c>
    </row>
    <row r="17" spans="1:4" s="16" customFormat="1" ht="21.95" customHeight="1">
      <c r="A17" s="501"/>
      <c r="B17" s="551"/>
      <c r="C17" s="141" t="s">
        <v>98</v>
      </c>
      <c r="D17" s="271">
        <f>입력!S33</f>
        <v>0</v>
      </c>
    </row>
    <row r="18" spans="1:4" s="16" customFormat="1" ht="21.95" customHeight="1">
      <c r="A18" s="501"/>
      <c r="B18" s="551"/>
      <c r="C18" s="141" t="s">
        <v>99</v>
      </c>
      <c r="D18" s="271">
        <f>입력!T33</f>
        <v>0</v>
      </c>
    </row>
    <row r="19" spans="1:4" s="16" customFormat="1" ht="21.95" customHeight="1">
      <c r="A19" s="501"/>
      <c r="B19" s="551"/>
      <c r="C19" s="62" t="s">
        <v>100</v>
      </c>
      <c r="D19" s="122">
        <f>SUM(D16:D18)</f>
        <v>2</v>
      </c>
    </row>
    <row r="20" spans="1:4" s="16" customFormat="1" ht="21.95" customHeight="1">
      <c r="A20" s="501"/>
      <c r="B20" s="551"/>
      <c r="C20" s="62" t="s">
        <v>101</v>
      </c>
      <c r="D20" s="116">
        <f>'유사용역 '!D$11</f>
        <v>0</v>
      </c>
    </row>
    <row r="21" spans="1:4" s="16" customFormat="1" ht="21.95" customHeight="1">
      <c r="A21" s="501"/>
      <c r="B21" s="551"/>
      <c r="C21" s="62" t="s">
        <v>102</v>
      </c>
      <c r="D21" s="122">
        <f>D19*D20</f>
        <v>0</v>
      </c>
    </row>
    <row r="22" spans="1:4" s="16" customFormat="1" ht="21.95" customHeight="1">
      <c r="A22" s="501"/>
      <c r="B22" s="550" t="str">
        <f>입력!D34</f>
        <v>D엔지니어링</v>
      </c>
      <c r="C22" s="140" t="s">
        <v>91</v>
      </c>
      <c r="D22" s="271">
        <f>입력!R34</f>
        <v>0</v>
      </c>
    </row>
    <row r="23" spans="1:4" s="16" customFormat="1" ht="21.95" customHeight="1">
      <c r="A23" s="501"/>
      <c r="B23" s="551"/>
      <c r="C23" s="141" t="s">
        <v>92</v>
      </c>
      <c r="D23" s="271">
        <f>입력!S34</f>
        <v>0</v>
      </c>
    </row>
    <row r="24" spans="1:4" s="16" customFormat="1" ht="21.95" customHeight="1">
      <c r="A24" s="501"/>
      <c r="B24" s="551"/>
      <c r="C24" s="141" t="s">
        <v>93</v>
      </c>
      <c r="D24" s="271">
        <f>입력!T34</f>
        <v>0</v>
      </c>
    </row>
    <row r="25" spans="1:4" s="16" customFormat="1" ht="21.95" customHeight="1">
      <c r="A25" s="501"/>
      <c r="B25" s="551"/>
      <c r="C25" s="62" t="s">
        <v>94</v>
      </c>
      <c r="D25" s="122">
        <f>SUM(D22:D24)</f>
        <v>0</v>
      </c>
    </row>
    <row r="26" spans="1:4" s="16" customFormat="1" ht="21.95" customHeight="1">
      <c r="A26" s="501"/>
      <c r="B26" s="551"/>
      <c r="C26" s="62" t="s">
        <v>86</v>
      </c>
      <c r="D26" s="116">
        <f>'유사용역 '!$D$14</f>
        <v>0</v>
      </c>
    </row>
    <row r="27" spans="1:4" s="16" customFormat="1" ht="21.95" customHeight="1">
      <c r="A27" s="501"/>
      <c r="B27" s="551"/>
      <c r="C27" s="62" t="s">
        <v>103</v>
      </c>
      <c r="D27" s="122">
        <f>D25*D26</f>
        <v>0</v>
      </c>
    </row>
    <row r="28" spans="1:4" s="16" customFormat="1" ht="21.95" customHeight="1">
      <c r="A28" s="501"/>
      <c r="B28" s="550" t="str">
        <f>입력!D35</f>
        <v>E엔지니어링</v>
      </c>
      <c r="C28" s="140" t="s">
        <v>91</v>
      </c>
      <c r="D28" s="271">
        <f>입력!R35</f>
        <v>0</v>
      </c>
    </row>
    <row r="29" spans="1:4" s="16" customFormat="1" ht="21.95" customHeight="1">
      <c r="A29" s="501"/>
      <c r="B29" s="551"/>
      <c r="C29" s="141" t="s">
        <v>92</v>
      </c>
      <c r="D29" s="271">
        <f>입력!S35</f>
        <v>0</v>
      </c>
    </row>
    <row r="30" spans="1:4" s="16" customFormat="1" ht="21.95" customHeight="1">
      <c r="A30" s="501"/>
      <c r="B30" s="551"/>
      <c r="C30" s="141" t="s">
        <v>93</v>
      </c>
      <c r="D30" s="271">
        <f>입력!T35</f>
        <v>0</v>
      </c>
    </row>
    <row r="31" spans="1:4" s="16" customFormat="1" ht="21.95" customHeight="1">
      <c r="A31" s="501"/>
      <c r="B31" s="551"/>
      <c r="C31" s="72" t="s">
        <v>94</v>
      </c>
      <c r="D31" s="122">
        <f>SUM(D28:D30)</f>
        <v>0</v>
      </c>
    </row>
    <row r="32" spans="1:4" s="16" customFormat="1" ht="21.95" customHeight="1">
      <c r="A32" s="501"/>
      <c r="B32" s="551"/>
      <c r="C32" s="72" t="s">
        <v>12</v>
      </c>
      <c r="D32" s="116">
        <f>'유사용역 '!$D$17</f>
        <v>0</v>
      </c>
    </row>
    <row r="33" spans="1:5" s="16" customFormat="1" ht="21.95" customHeight="1">
      <c r="A33" s="502"/>
      <c r="B33" s="551"/>
      <c r="C33" s="72" t="s">
        <v>215</v>
      </c>
      <c r="D33" s="122">
        <f>D31*D32</f>
        <v>0</v>
      </c>
    </row>
    <row r="34" spans="1:5" ht="21.95" customHeight="1">
      <c r="A34" s="473" t="s">
        <v>216</v>
      </c>
      <c r="B34" s="473"/>
      <c r="C34" s="552"/>
      <c r="D34" s="123">
        <f>SUM(D9,D15,D21,D27,D33)</f>
        <v>5.6</v>
      </c>
    </row>
    <row r="35" spans="1:5" ht="21.95" customHeight="1">
      <c r="A35" s="469" t="s">
        <v>104</v>
      </c>
      <c r="B35" s="469"/>
      <c r="C35" s="469"/>
      <c r="D35" s="15">
        <f>IF(D34&gt;=2,2,IF(D34&lt;2,D34))</f>
        <v>2</v>
      </c>
    </row>
    <row r="36" spans="1:5" s="16" customFormat="1" ht="16.5" customHeight="1">
      <c r="A36" s="30"/>
      <c r="B36" s="30"/>
      <c r="C36" s="30"/>
      <c r="D36" s="31"/>
    </row>
    <row r="37" spans="1:5" s="45" customFormat="1" ht="31.5" customHeight="1">
      <c r="A37" s="549" t="s">
        <v>105</v>
      </c>
      <c r="B37" s="549"/>
      <c r="C37" s="549"/>
      <c r="D37" s="549"/>
      <c r="E37" s="39"/>
    </row>
    <row r="38" spans="1:5" s="87" customFormat="1" ht="54.95" customHeight="1">
      <c r="A38" s="490" t="str">
        <f>A3</f>
        <v xml:space="preserve">                                                         회사별
   구      분</v>
      </c>
      <c r="B38" s="490"/>
      <c r="C38" s="490"/>
      <c r="D38" s="75" t="str">
        <f>참여기술자!E$7</f>
        <v>A엔지니어링, B엔지니어링, C엔지니어링, D엔지니어링, E엔지니어링</v>
      </c>
      <c r="E38" s="81"/>
    </row>
    <row r="39" spans="1:5" s="16" customFormat="1" ht="27.95" customHeight="1">
      <c r="A39" s="500" t="s">
        <v>106</v>
      </c>
      <c r="B39" s="555" t="str">
        <f>입력!D31</f>
        <v>A엔지니어링</v>
      </c>
      <c r="C39" s="140" t="s">
        <v>107</v>
      </c>
      <c r="D39" s="272">
        <f>입력!U31</f>
        <v>3896</v>
      </c>
      <c r="E39" s="179"/>
    </row>
    <row r="40" spans="1:5" s="16" customFormat="1" ht="27.95" customHeight="1">
      <c r="A40" s="501"/>
      <c r="B40" s="555"/>
      <c r="C40" s="140" t="s">
        <v>108</v>
      </c>
      <c r="D40" s="272">
        <f>입력!V31</f>
        <v>77666</v>
      </c>
      <c r="E40" s="179"/>
    </row>
    <row r="41" spans="1:5" s="16" customFormat="1" ht="27.95" customHeight="1">
      <c r="A41" s="501"/>
      <c r="B41" s="555"/>
      <c r="C41" s="62" t="s">
        <v>109</v>
      </c>
      <c r="D41" s="124">
        <f>IF(D40=0,0,D39/D40)</f>
        <v>5.0163520716916023E-2</v>
      </c>
    </row>
    <row r="42" spans="1:5" s="16" customFormat="1" ht="27.95" customHeight="1">
      <c r="A42" s="501"/>
      <c r="B42" s="555"/>
      <c r="C42" s="62" t="s">
        <v>86</v>
      </c>
      <c r="D42" s="116">
        <f>'유사용역 '!D$5</f>
        <v>0.7</v>
      </c>
    </row>
    <row r="43" spans="1:5" s="16" customFormat="1" ht="27.95" customHeight="1">
      <c r="A43" s="501"/>
      <c r="B43" s="555"/>
      <c r="C43" s="62" t="s">
        <v>110</v>
      </c>
      <c r="D43" s="125">
        <f>D41*D42</f>
        <v>3.5114464501841212E-2</v>
      </c>
    </row>
    <row r="44" spans="1:5" s="16" customFormat="1" ht="27.95" customHeight="1">
      <c r="A44" s="501"/>
      <c r="B44" s="555" t="str">
        <f>입력!D32</f>
        <v>B엔지니어링</v>
      </c>
      <c r="C44" s="140" t="s">
        <v>107</v>
      </c>
      <c r="D44" s="273">
        <f>입력!U32</f>
        <v>482</v>
      </c>
    </row>
    <row r="45" spans="1:5" s="16" customFormat="1" ht="27.95" customHeight="1">
      <c r="A45" s="501"/>
      <c r="B45" s="555"/>
      <c r="C45" s="140" t="s">
        <v>108</v>
      </c>
      <c r="D45" s="273">
        <f>입력!V32</f>
        <v>14664</v>
      </c>
    </row>
    <row r="46" spans="1:5" s="16" customFormat="1" ht="27.95" customHeight="1">
      <c r="A46" s="501"/>
      <c r="B46" s="555"/>
      <c r="C46" s="62" t="s">
        <v>109</v>
      </c>
      <c r="D46" s="124">
        <f>IF(D45=0,0,D44/D45)</f>
        <v>3.2869612656846701E-2</v>
      </c>
    </row>
    <row r="47" spans="1:5" s="16" customFormat="1" ht="27.95" customHeight="1">
      <c r="A47" s="501"/>
      <c r="B47" s="555"/>
      <c r="C47" s="62" t="s">
        <v>86</v>
      </c>
      <c r="D47" s="116">
        <f>'유사용역 '!D$8</f>
        <v>0.3</v>
      </c>
    </row>
    <row r="48" spans="1:5" s="16" customFormat="1" ht="27.95" customHeight="1">
      <c r="A48" s="501"/>
      <c r="B48" s="555"/>
      <c r="C48" s="62" t="s">
        <v>111</v>
      </c>
      <c r="D48" s="125">
        <f>D46*D47</f>
        <v>9.8608837970540104E-3</v>
      </c>
    </row>
    <row r="49" spans="1:4" s="16" customFormat="1" ht="27.95" customHeight="1">
      <c r="A49" s="501"/>
      <c r="B49" s="555" t="str">
        <f>입력!D33</f>
        <v>C엔지니어링</v>
      </c>
      <c r="C49" s="140" t="s">
        <v>107</v>
      </c>
      <c r="D49" s="274">
        <f>입력!U33</f>
        <v>0</v>
      </c>
    </row>
    <row r="50" spans="1:4" s="16" customFormat="1" ht="27.95" customHeight="1">
      <c r="A50" s="501"/>
      <c r="B50" s="555"/>
      <c r="C50" s="140" t="s">
        <v>108</v>
      </c>
      <c r="D50" s="274">
        <f>입력!V33</f>
        <v>0</v>
      </c>
    </row>
    <row r="51" spans="1:4" s="16" customFormat="1" ht="27.95" customHeight="1">
      <c r="A51" s="501"/>
      <c r="B51" s="555"/>
      <c r="C51" s="62" t="s">
        <v>109</v>
      </c>
      <c r="D51" s="124">
        <f>IF(D50=0,0,D49/D50)</f>
        <v>0</v>
      </c>
    </row>
    <row r="52" spans="1:4" s="16" customFormat="1" ht="27.95" customHeight="1">
      <c r="A52" s="501"/>
      <c r="B52" s="555"/>
      <c r="C52" s="62" t="s">
        <v>86</v>
      </c>
      <c r="D52" s="116">
        <f>'유사용역 '!D$11</f>
        <v>0</v>
      </c>
    </row>
    <row r="53" spans="1:4" s="16" customFormat="1" ht="27.95" customHeight="1">
      <c r="A53" s="501"/>
      <c r="B53" s="555"/>
      <c r="C53" s="62" t="s">
        <v>112</v>
      </c>
      <c r="D53" s="125">
        <f>D51*D52</f>
        <v>0</v>
      </c>
    </row>
    <row r="54" spans="1:4" s="16" customFormat="1" ht="27.95" customHeight="1">
      <c r="A54" s="501"/>
      <c r="B54" s="555" t="str">
        <f>입력!D34</f>
        <v>D엔지니어링</v>
      </c>
      <c r="C54" s="140" t="s">
        <v>113</v>
      </c>
      <c r="D54" s="272">
        <f>입력!U34</f>
        <v>0</v>
      </c>
    </row>
    <row r="55" spans="1:4" s="16" customFormat="1" ht="27.95" customHeight="1">
      <c r="A55" s="501"/>
      <c r="B55" s="555"/>
      <c r="C55" s="140" t="s">
        <v>114</v>
      </c>
      <c r="D55" s="272">
        <f>입력!V34</f>
        <v>0</v>
      </c>
    </row>
    <row r="56" spans="1:4" s="16" customFormat="1" ht="27.95" customHeight="1">
      <c r="A56" s="501"/>
      <c r="B56" s="555"/>
      <c r="C56" s="62" t="s">
        <v>115</v>
      </c>
      <c r="D56" s="124">
        <f>IF(D55=0,0,D54/D55)</f>
        <v>0</v>
      </c>
    </row>
    <row r="57" spans="1:4" s="16" customFormat="1" ht="27.95" customHeight="1">
      <c r="A57" s="501"/>
      <c r="B57" s="555"/>
      <c r="C57" s="62" t="s">
        <v>87</v>
      </c>
      <c r="D57" s="116">
        <f>'유사용역 '!D$14</f>
        <v>0</v>
      </c>
    </row>
    <row r="58" spans="1:4" s="16" customFormat="1" ht="27.95" customHeight="1">
      <c r="A58" s="501"/>
      <c r="B58" s="555"/>
      <c r="C58" s="62" t="s">
        <v>116</v>
      </c>
      <c r="D58" s="125">
        <f>D56*D57</f>
        <v>0</v>
      </c>
    </row>
    <row r="59" spans="1:4" s="16" customFormat="1" ht="27.95" customHeight="1">
      <c r="A59" s="501"/>
      <c r="B59" s="555" t="str">
        <f>입력!D35</f>
        <v>E엔지니어링</v>
      </c>
      <c r="C59" s="140" t="s">
        <v>107</v>
      </c>
      <c r="D59" s="142">
        <f>입력!U35</f>
        <v>0</v>
      </c>
    </row>
    <row r="60" spans="1:4" s="16" customFormat="1" ht="27.95" customHeight="1">
      <c r="A60" s="501"/>
      <c r="B60" s="555"/>
      <c r="C60" s="140" t="s">
        <v>108</v>
      </c>
      <c r="D60" s="142">
        <f>입력!V35</f>
        <v>0</v>
      </c>
    </row>
    <row r="61" spans="1:4" s="16" customFormat="1" ht="27.95" customHeight="1">
      <c r="A61" s="501"/>
      <c r="B61" s="555"/>
      <c r="C61" s="72" t="s">
        <v>109</v>
      </c>
      <c r="D61" s="124">
        <f>IF(D60=0,0,D59/D60)</f>
        <v>0</v>
      </c>
    </row>
    <row r="62" spans="1:4" s="16" customFormat="1" ht="27.95" customHeight="1">
      <c r="A62" s="501"/>
      <c r="B62" s="555"/>
      <c r="C62" s="72" t="s">
        <v>12</v>
      </c>
      <c r="D62" s="116">
        <f>'유사용역 '!D$17</f>
        <v>0</v>
      </c>
    </row>
    <row r="63" spans="1:4" s="16" customFormat="1" ht="27.95" customHeight="1">
      <c r="A63" s="502"/>
      <c r="B63" s="555"/>
      <c r="C63" s="72" t="s">
        <v>217</v>
      </c>
      <c r="D63" s="125">
        <f>D61*D62</f>
        <v>0</v>
      </c>
    </row>
    <row r="64" spans="1:4" s="16" customFormat="1" ht="27.95" customHeight="1">
      <c r="A64" s="473" t="s">
        <v>216</v>
      </c>
      <c r="B64" s="473"/>
      <c r="C64" s="473"/>
      <c r="D64" s="126">
        <f>SUM(D43,D48,D53,D58,D63)</f>
        <v>4.4975348298895226E-2</v>
      </c>
    </row>
    <row r="65" spans="1:5" ht="27.95" customHeight="1">
      <c r="A65" s="469" t="s">
        <v>117</v>
      </c>
      <c r="B65" s="469"/>
      <c r="C65" s="469"/>
      <c r="D65" s="15">
        <f>IF(D64&gt;=1.5%,10,IF(D64&gt;=1.25%,9,IF(D64&gt;=1%,8,IF(D64&gt;=0.75%,7,IF(D64&gt;=0.5%,6,IF(D64&lt;0.5%,0))))))</f>
        <v>10</v>
      </c>
    </row>
    <row r="66" spans="1:5" ht="6.75" customHeight="1"/>
    <row r="67" spans="1:5" s="45" customFormat="1" ht="25.5" customHeight="1">
      <c r="A67" s="549" t="s">
        <v>118</v>
      </c>
      <c r="B67" s="549"/>
      <c r="C67" s="549"/>
      <c r="D67" s="549"/>
      <c r="E67" s="39"/>
    </row>
    <row r="68" spans="1:5" s="87" customFormat="1" ht="54.95" customHeight="1">
      <c r="A68" s="490" t="str">
        <f>A38</f>
        <v xml:space="preserve">                                                         회사별
   구      분</v>
      </c>
      <c r="B68" s="490"/>
      <c r="C68" s="490"/>
      <c r="D68" s="75" t="str">
        <f>참여기술자!E$7</f>
        <v>A엔지니어링, B엔지니어링, C엔지니어링, D엔지니어링, E엔지니어링</v>
      </c>
      <c r="E68" s="81"/>
    </row>
    <row r="69" spans="1:5" s="16" customFormat="1" ht="24" customHeight="1">
      <c r="A69" s="500" t="s">
        <v>119</v>
      </c>
      <c r="B69" s="550" t="str">
        <f>입력!D31</f>
        <v>A엔지니어링</v>
      </c>
      <c r="C69" s="140" t="s">
        <v>120</v>
      </c>
      <c r="D69" s="275">
        <f>입력!W31</f>
        <v>5.9</v>
      </c>
      <c r="E69" s="179"/>
    </row>
    <row r="70" spans="1:5" s="16" customFormat="1" ht="24" customHeight="1">
      <c r="A70" s="501"/>
      <c r="B70" s="551"/>
      <c r="C70" s="141" t="s">
        <v>121</v>
      </c>
      <c r="D70" s="275">
        <f>입력!X31</f>
        <v>0</v>
      </c>
    </row>
    <row r="71" spans="1:5" s="16" customFormat="1" ht="24" customHeight="1">
      <c r="A71" s="501"/>
      <c r="B71" s="551"/>
      <c r="C71" s="141" t="s">
        <v>122</v>
      </c>
      <c r="D71" s="275">
        <f>입력!Y31</f>
        <v>0</v>
      </c>
    </row>
    <row r="72" spans="1:5" s="16" customFormat="1" ht="24" customHeight="1">
      <c r="A72" s="501"/>
      <c r="B72" s="551"/>
      <c r="C72" s="62" t="s">
        <v>123</v>
      </c>
      <c r="D72" s="127">
        <f>SUM(D69:D71)</f>
        <v>5.9</v>
      </c>
    </row>
    <row r="73" spans="1:5" s="16" customFormat="1" ht="24" customHeight="1">
      <c r="A73" s="501"/>
      <c r="B73" s="551"/>
      <c r="C73" s="62" t="s">
        <v>87</v>
      </c>
      <c r="D73" s="116">
        <f>'유사용역 '!D$5</f>
        <v>0.7</v>
      </c>
    </row>
    <row r="74" spans="1:5" s="16" customFormat="1" ht="24" customHeight="1">
      <c r="A74" s="501"/>
      <c r="B74" s="551"/>
      <c r="C74" s="62" t="s">
        <v>124</v>
      </c>
      <c r="D74" s="127">
        <f>D72*D73</f>
        <v>4.13</v>
      </c>
    </row>
    <row r="75" spans="1:5" s="16" customFormat="1" ht="24" customHeight="1">
      <c r="A75" s="501"/>
      <c r="B75" s="550" t="str">
        <f>입력!D32</f>
        <v>B엔지니어링</v>
      </c>
      <c r="C75" s="140" t="s">
        <v>120</v>
      </c>
      <c r="D75" s="275">
        <f>입력!W32</f>
        <v>1.2</v>
      </c>
    </row>
    <row r="76" spans="1:5" s="16" customFormat="1" ht="24" customHeight="1">
      <c r="A76" s="501"/>
      <c r="B76" s="551"/>
      <c r="C76" s="141" t="s">
        <v>121</v>
      </c>
      <c r="D76" s="275">
        <f>입력!X32</f>
        <v>0</v>
      </c>
    </row>
    <row r="77" spans="1:5" s="16" customFormat="1" ht="24" customHeight="1">
      <c r="A77" s="501"/>
      <c r="B77" s="551"/>
      <c r="C77" s="141" t="s">
        <v>122</v>
      </c>
      <c r="D77" s="275">
        <f>입력!Y32</f>
        <v>0</v>
      </c>
    </row>
    <row r="78" spans="1:5" s="16" customFormat="1" ht="24" customHeight="1">
      <c r="A78" s="501"/>
      <c r="B78" s="551"/>
      <c r="C78" s="62" t="s">
        <v>123</v>
      </c>
      <c r="D78" s="127">
        <f>SUM(D75:D77)</f>
        <v>1.2</v>
      </c>
    </row>
    <row r="79" spans="1:5" s="16" customFormat="1" ht="24" customHeight="1">
      <c r="A79" s="501"/>
      <c r="B79" s="551"/>
      <c r="C79" s="62" t="s">
        <v>87</v>
      </c>
      <c r="D79" s="116">
        <f>'유사용역 '!D$8</f>
        <v>0.3</v>
      </c>
    </row>
    <row r="80" spans="1:5" s="16" customFormat="1" ht="24" customHeight="1">
      <c r="A80" s="501"/>
      <c r="B80" s="551"/>
      <c r="C80" s="62" t="s">
        <v>125</v>
      </c>
      <c r="D80" s="127">
        <f>D78*D79</f>
        <v>0.36</v>
      </c>
    </row>
    <row r="81" spans="1:4" s="16" customFormat="1" ht="24" customHeight="1">
      <c r="A81" s="501"/>
      <c r="B81" s="550" t="str">
        <f>입력!D33</f>
        <v>C엔지니어링</v>
      </c>
      <c r="C81" s="140" t="s">
        <v>120</v>
      </c>
      <c r="D81" s="275">
        <f>입력!W33</f>
        <v>0</v>
      </c>
    </row>
    <row r="82" spans="1:4" s="16" customFormat="1" ht="24" customHeight="1">
      <c r="A82" s="501"/>
      <c r="B82" s="551"/>
      <c r="C82" s="141" t="s">
        <v>121</v>
      </c>
      <c r="D82" s="275">
        <f>입력!X33</f>
        <v>0</v>
      </c>
    </row>
    <row r="83" spans="1:4" s="16" customFormat="1" ht="24" customHeight="1">
      <c r="A83" s="501"/>
      <c r="B83" s="551"/>
      <c r="C83" s="141" t="s">
        <v>122</v>
      </c>
      <c r="D83" s="275">
        <f>입력!Y33</f>
        <v>0</v>
      </c>
    </row>
    <row r="84" spans="1:4" s="16" customFormat="1" ht="24" customHeight="1">
      <c r="A84" s="501"/>
      <c r="B84" s="551"/>
      <c r="C84" s="62" t="s">
        <v>123</v>
      </c>
      <c r="D84" s="127">
        <f>SUM(D81:D83)</f>
        <v>0</v>
      </c>
    </row>
    <row r="85" spans="1:4" s="16" customFormat="1" ht="24" customHeight="1">
      <c r="A85" s="501"/>
      <c r="B85" s="551"/>
      <c r="C85" s="62" t="s">
        <v>87</v>
      </c>
      <c r="D85" s="116">
        <f>'유사용역 '!D$11</f>
        <v>0</v>
      </c>
    </row>
    <row r="86" spans="1:4" s="16" customFormat="1" ht="24" customHeight="1">
      <c r="A86" s="501"/>
      <c r="B86" s="551"/>
      <c r="C86" s="63" t="s">
        <v>126</v>
      </c>
      <c r="D86" s="127">
        <f>D84*D85</f>
        <v>0</v>
      </c>
    </row>
    <row r="87" spans="1:4" s="16" customFormat="1" ht="24" customHeight="1">
      <c r="A87" s="501"/>
      <c r="B87" s="550" t="str">
        <f>입력!D34</f>
        <v>D엔지니어링</v>
      </c>
      <c r="C87" s="140" t="s">
        <v>120</v>
      </c>
      <c r="D87" s="276">
        <f>입력!W34</f>
        <v>0</v>
      </c>
    </row>
    <row r="88" spans="1:4" s="16" customFormat="1" ht="24" customHeight="1">
      <c r="A88" s="501"/>
      <c r="B88" s="551"/>
      <c r="C88" s="141" t="s">
        <v>121</v>
      </c>
      <c r="D88" s="276">
        <f>입력!X34</f>
        <v>0</v>
      </c>
    </row>
    <row r="89" spans="1:4" s="16" customFormat="1" ht="24" customHeight="1">
      <c r="A89" s="501"/>
      <c r="B89" s="551"/>
      <c r="C89" s="141" t="s">
        <v>122</v>
      </c>
      <c r="D89" s="276">
        <f>입력!Y34</f>
        <v>0</v>
      </c>
    </row>
    <row r="90" spans="1:4" s="16" customFormat="1" ht="24" customHeight="1">
      <c r="A90" s="501"/>
      <c r="B90" s="551"/>
      <c r="C90" s="62" t="s">
        <v>123</v>
      </c>
      <c r="D90" s="127">
        <f>SUM(D87:D89)</f>
        <v>0</v>
      </c>
    </row>
    <row r="91" spans="1:4" s="16" customFormat="1" ht="24" customHeight="1">
      <c r="A91" s="501"/>
      <c r="B91" s="551"/>
      <c r="C91" s="62" t="s">
        <v>87</v>
      </c>
      <c r="D91" s="116">
        <f>'유사용역 '!D$14</f>
        <v>0</v>
      </c>
    </row>
    <row r="92" spans="1:4" s="16" customFormat="1" ht="24" customHeight="1">
      <c r="A92" s="501"/>
      <c r="B92" s="551"/>
      <c r="C92" s="63" t="s">
        <v>127</v>
      </c>
      <c r="D92" s="127">
        <f>D90*D91</f>
        <v>0</v>
      </c>
    </row>
    <row r="93" spans="1:4" s="16" customFormat="1" ht="24" customHeight="1">
      <c r="A93" s="501"/>
      <c r="B93" s="550" t="str">
        <f>입력!D35</f>
        <v>E엔지니어링</v>
      </c>
      <c r="C93" s="140" t="s">
        <v>91</v>
      </c>
      <c r="D93" s="276">
        <f>입력!W35</f>
        <v>0</v>
      </c>
    </row>
    <row r="94" spans="1:4" s="16" customFormat="1" ht="24" customHeight="1">
      <c r="A94" s="501"/>
      <c r="B94" s="551"/>
      <c r="C94" s="141" t="s">
        <v>92</v>
      </c>
      <c r="D94" s="276">
        <f>입력!X35</f>
        <v>0</v>
      </c>
    </row>
    <row r="95" spans="1:4" s="16" customFormat="1" ht="24" customHeight="1">
      <c r="A95" s="501"/>
      <c r="B95" s="551"/>
      <c r="C95" s="141" t="s">
        <v>93</v>
      </c>
      <c r="D95" s="276">
        <f>입력!Y35</f>
        <v>0</v>
      </c>
    </row>
    <row r="96" spans="1:4" s="16" customFormat="1" ht="24" customHeight="1">
      <c r="A96" s="501"/>
      <c r="B96" s="551"/>
      <c r="C96" s="72" t="s">
        <v>94</v>
      </c>
      <c r="D96" s="127">
        <f>SUM(D93:D95)</f>
        <v>0</v>
      </c>
    </row>
    <row r="97" spans="1:4" s="16" customFormat="1" ht="24" customHeight="1">
      <c r="A97" s="501"/>
      <c r="B97" s="551"/>
      <c r="C97" s="72" t="s">
        <v>12</v>
      </c>
      <c r="D97" s="116">
        <f>'유사용역 '!D$17</f>
        <v>0</v>
      </c>
    </row>
    <row r="98" spans="1:4" s="16" customFormat="1" ht="24" customHeight="1">
      <c r="A98" s="502"/>
      <c r="B98" s="551"/>
      <c r="C98" s="70" t="s">
        <v>215</v>
      </c>
      <c r="D98" s="127">
        <f>D96*D97</f>
        <v>0</v>
      </c>
    </row>
    <row r="99" spans="1:4" ht="24" customHeight="1">
      <c r="A99" s="473" t="s">
        <v>216</v>
      </c>
      <c r="B99" s="473"/>
      <c r="C99" s="552"/>
      <c r="D99" s="128">
        <f>SUM(D74,D80,D86,D92,D98)</f>
        <v>4.49</v>
      </c>
    </row>
    <row r="100" spans="1:4" ht="24" customHeight="1">
      <c r="A100" s="469" t="s">
        <v>117</v>
      </c>
      <c r="B100" s="469"/>
      <c r="C100" s="469"/>
      <c r="D100" s="15">
        <f>IF(D99&gt;=3,3,IF(D99&lt;3,D99))</f>
        <v>3</v>
      </c>
    </row>
    <row r="101" spans="1:4" s="55" customFormat="1" ht="66.75" customHeight="1">
      <c r="A101" s="34"/>
      <c r="B101" s="34"/>
      <c r="C101" s="34"/>
      <c r="D101" s="35"/>
    </row>
  </sheetData>
  <sheetProtection algorithmName="SHA-512" hashValue="rIt9WwDEkG6/zga+lA1do4LpVKaHihpa6NjMweUdRa7ZNORbjllQdvcXUtELQwTqqj1/W9lD9051LIEQqXOEEg==" saltValue="HXrH3nVZndrghvv9IW4xGA==" spinCount="100000" sheet="1" objects="1" scenarios="1"/>
  <mergeCells count="30">
    <mergeCell ref="B22:B27"/>
    <mergeCell ref="B28:B33"/>
    <mergeCell ref="A4:A33"/>
    <mergeCell ref="B59:B63"/>
    <mergeCell ref="A39:A63"/>
    <mergeCell ref="A34:C34"/>
    <mergeCell ref="A35:C35"/>
    <mergeCell ref="A37:D37"/>
    <mergeCell ref="A38:C38"/>
    <mergeCell ref="B39:B43"/>
    <mergeCell ref="B44:B48"/>
    <mergeCell ref="B49:B53"/>
    <mergeCell ref="B54:B58"/>
    <mergeCell ref="A2:D2"/>
    <mergeCell ref="A3:C3"/>
    <mergeCell ref="B4:B9"/>
    <mergeCell ref="B10:B15"/>
    <mergeCell ref="B16:B21"/>
    <mergeCell ref="A100:C100"/>
    <mergeCell ref="A64:C64"/>
    <mergeCell ref="A65:C65"/>
    <mergeCell ref="A67:D67"/>
    <mergeCell ref="A68:C68"/>
    <mergeCell ref="B69:B74"/>
    <mergeCell ref="B75:B80"/>
    <mergeCell ref="B81:B86"/>
    <mergeCell ref="A99:C99"/>
    <mergeCell ref="B93:B98"/>
    <mergeCell ref="A69:A98"/>
    <mergeCell ref="B87:B92"/>
  </mergeCells>
  <phoneticPr fontId="2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5" fitToHeight="14" orientation="portrait" horizontalDpi="4294967294" r:id="rId1"/>
  <headerFooter alignWithMargins="0"/>
  <rowBreaks count="2" manualBreakCount="2">
    <brk id="36" max="3" man="1"/>
    <brk id="66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66"/>
  <sheetViews>
    <sheetView view="pageBreakPreview" zoomScaleNormal="70" zoomScaleSheetLayoutView="100" workbookViewId="0">
      <pane xSplit="4" ySplit="3" topLeftCell="E29" activePane="bottomRight" state="frozen"/>
      <selection activeCell="D169" sqref="D169"/>
      <selection pane="topRight" activeCell="D169" sqref="D169"/>
      <selection pane="bottomLeft" activeCell="D169" sqref="D169"/>
      <selection pane="bottomRight" activeCell="A4" sqref="A4:B6"/>
    </sheetView>
  </sheetViews>
  <sheetFormatPr defaultRowHeight="16.5"/>
  <cols>
    <col min="1" max="1" width="23.21875" style="39" customWidth="1"/>
    <col min="2" max="3" width="7.6640625" style="39" customWidth="1"/>
    <col min="4" max="4" width="9.33203125" style="39" customWidth="1"/>
    <col min="5" max="5" width="50.77734375" style="81" customWidth="1"/>
    <col min="6" max="16384" width="8.88671875" style="39"/>
  </cols>
  <sheetData>
    <row r="1" spans="1:6" ht="24" customHeight="1">
      <c r="A1" s="524" t="s">
        <v>23</v>
      </c>
      <c r="B1" s="524"/>
      <c r="C1" s="524"/>
      <c r="D1" s="558"/>
      <c r="E1" s="558"/>
    </row>
    <row r="2" spans="1:6" s="45" customFormat="1" ht="22.5" customHeight="1">
      <c r="A2" s="556" t="s">
        <v>75</v>
      </c>
      <c r="B2" s="556"/>
      <c r="C2" s="556"/>
      <c r="D2" s="556"/>
      <c r="E2" s="74">
        <f>입력!D4</f>
        <v>18</v>
      </c>
      <c r="F2" s="39"/>
    </row>
    <row r="3" spans="1:6" ht="54.95" customHeight="1">
      <c r="A3" s="561" t="s">
        <v>311</v>
      </c>
      <c r="B3" s="561"/>
      <c r="C3" s="561"/>
      <c r="D3" s="561"/>
      <c r="E3" s="75" t="str">
        <f>참여기술자!E$7</f>
        <v>A엔지니어링, B엔지니어링, C엔지니어링, D엔지니어링, E엔지니어링</v>
      </c>
      <c r="F3" s="204" t="s">
        <v>270</v>
      </c>
    </row>
    <row r="4" spans="1:6" s="16" customFormat="1" ht="39.950000000000003" customHeight="1">
      <c r="A4" s="559" t="s">
        <v>297</v>
      </c>
      <c r="B4" s="560"/>
      <c r="C4" s="455" t="str">
        <f>입력!D31</f>
        <v>A엔지니어링</v>
      </c>
      <c r="D4" s="61" t="s">
        <v>6</v>
      </c>
      <c r="E4" s="103" t="str">
        <f>참여기술자!E8</f>
        <v>홍길동1</v>
      </c>
    </row>
    <row r="5" spans="1:6" s="16" customFormat="1" ht="39.950000000000003" customHeight="1">
      <c r="A5" s="559"/>
      <c r="B5" s="560"/>
      <c r="C5" s="569"/>
      <c r="D5" s="143" t="s">
        <v>42</v>
      </c>
      <c r="E5" s="144">
        <f>입력!N14</f>
        <v>12.1</v>
      </c>
      <c r="F5" s="179"/>
    </row>
    <row r="6" spans="1:6" ht="39.950000000000003" customHeight="1">
      <c r="A6" s="559"/>
      <c r="B6" s="560"/>
      <c r="C6" s="456"/>
      <c r="D6" s="56" t="s">
        <v>43</v>
      </c>
      <c r="E6" s="129">
        <f>E5/$E$2</f>
        <v>0.67222222222222217</v>
      </c>
    </row>
    <row r="7" spans="1:6" ht="30.75" customHeight="1">
      <c r="A7" s="469" t="s">
        <v>38</v>
      </c>
      <c r="B7" s="469"/>
      <c r="C7" s="469"/>
      <c r="D7" s="469"/>
      <c r="E7" s="15">
        <f>IF(E6&lt;300%,3,IF(E6&lt;400%,2.7,IF(E6&lt;500%,2.4,IF(E6&lt;600%,2.1,1.8))))</f>
        <v>3</v>
      </c>
    </row>
    <row r="8" spans="1:6" s="45" customFormat="1" ht="25.5" customHeight="1">
      <c r="A8" s="567" t="s">
        <v>76</v>
      </c>
      <c r="B8" s="567"/>
      <c r="C8" s="567"/>
      <c r="D8" s="567"/>
      <c r="E8" s="568"/>
      <c r="F8" s="39"/>
    </row>
    <row r="9" spans="1:6" ht="54.95" customHeight="1">
      <c r="A9" s="563" t="str">
        <f>A3</f>
        <v xml:space="preserve">                                                        회사별
   구     분</v>
      </c>
      <c r="B9" s="563"/>
      <c r="C9" s="563"/>
      <c r="D9" s="563"/>
      <c r="E9" s="75" t="str">
        <f>참여기술자!E$7</f>
        <v>A엔지니어링, B엔지니어링, C엔지니어링, D엔지니어링, E엔지니어링</v>
      </c>
    </row>
    <row r="10" spans="1:6" s="16" customFormat="1" ht="25.5" customHeight="1">
      <c r="A10" s="564" t="s">
        <v>298</v>
      </c>
      <c r="B10" s="562" t="str">
        <f>참여기술자!B27</f>
        <v>수자원</v>
      </c>
      <c r="C10" s="415" t="str">
        <f>참여기술자!C27</f>
        <v>A엔지니어링</v>
      </c>
      <c r="D10" s="61" t="s">
        <v>6</v>
      </c>
      <c r="E10" s="103" t="str">
        <f>참여기술자!E27</f>
        <v>홍길동2</v>
      </c>
    </row>
    <row r="11" spans="1:6" s="16" customFormat="1" ht="25.5" customHeight="1">
      <c r="A11" s="565"/>
      <c r="B11" s="562"/>
      <c r="C11" s="420"/>
      <c r="D11" s="143" t="s">
        <v>42</v>
      </c>
      <c r="E11" s="144">
        <f>입력!N15</f>
        <v>0</v>
      </c>
    </row>
    <row r="12" spans="1:6" s="16" customFormat="1" ht="25.5" customHeight="1">
      <c r="A12" s="565"/>
      <c r="B12" s="562"/>
      <c r="C12" s="420"/>
      <c r="D12" s="61" t="s">
        <v>43</v>
      </c>
      <c r="E12" s="130">
        <f>E11/$E$2</f>
        <v>0</v>
      </c>
    </row>
    <row r="13" spans="1:6" s="16" customFormat="1" ht="25.5" customHeight="1">
      <c r="A13" s="565"/>
      <c r="B13" s="562"/>
      <c r="C13" s="421"/>
      <c r="D13" s="61" t="s">
        <v>0</v>
      </c>
      <c r="E13" s="131">
        <f>IF(E12&lt;300%,4,IF(E12&lt;400%,3.6,IF(E12&lt;500%,3.2,IF(E12&lt;600%,2.8,2.4))))</f>
        <v>4</v>
      </c>
    </row>
    <row r="14" spans="1:6" s="16" customFormat="1" ht="25.5" customHeight="1">
      <c r="A14" s="565"/>
      <c r="B14" s="562" t="s">
        <v>47</v>
      </c>
      <c r="C14" s="415" t="str">
        <f>참여기술자!C30</f>
        <v>A엔지니어링</v>
      </c>
      <c r="D14" s="61" t="s">
        <v>6</v>
      </c>
      <c r="E14" s="103" t="str">
        <f>참여기술자!E30</f>
        <v>홍길동3</v>
      </c>
    </row>
    <row r="15" spans="1:6" s="16" customFormat="1" ht="25.5" customHeight="1">
      <c r="A15" s="565"/>
      <c r="B15" s="562"/>
      <c r="C15" s="420"/>
      <c r="D15" s="143" t="s">
        <v>42</v>
      </c>
      <c r="E15" s="144">
        <f>입력!N16</f>
        <v>18.600000000000001</v>
      </c>
    </row>
    <row r="16" spans="1:6" s="16" customFormat="1" ht="25.5" customHeight="1">
      <c r="A16" s="565"/>
      <c r="B16" s="562"/>
      <c r="C16" s="420"/>
      <c r="D16" s="61" t="s">
        <v>43</v>
      </c>
      <c r="E16" s="130">
        <f>E15/$E$2</f>
        <v>1.0333333333333334</v>
      </c>
    </row>
    <row r="17" spans="1:6" s="16" customFormat="1" ht="25.5" customHeight="1">
      <c r="A17" s="565"/>
      <c r="B17" s="562"/>
      <c r="C17" s="421"/>
      <c r="D17" s="61" t="s">
        <v>0</v>
      </c>
      <c r="E17" s="249">
        <f>IF(E16&lt;300%,4,IF(E16&lt;400%,3.6,IF(E16&lt;500%,3.2,IF(E16&lt;600%,2.8,2.4))))</f>
        <v>4</v>
      </c>
    </row>
    <row r="18" spans="1:6" s="16" customFormat="1" ht="25.5" customHeight="1">
      <c r="A18" s="565"/>
      <c r="B18" s="562" t="s">
        <v>44</v>
      </c>
      <c r="C18" s="415" t="str">
        <f>참여기술자!C33</f>
        <v>B엔지니어링</v>
      </c>
      <c r="D18" s="61" t="s">
        <v>6</v>
      </c>
      <c r="E18" s="103" t="str">
        <f>참여기술자!E33</f>
        <v>홍길동4</v>
      </c>
    </row>
    <row r="19" spans="1:6" s="16" customFormat="1" ht="25.5" customHeight="1">
      <c r="A19" s="565"/>
      <c r="B19" s="562"/>
      <c r="C19" s="420"/>
      <c r="D19" s="143" t="s">
        <v>42</v>
      </c>
      <c r="E19" s="144">
        <f>입력!N17</f>
        <v>25</v>
      </c>
    </row>
    <row r="20" spans="1:6" s="16" customFormat="1" ht="25.5" customHeight="1">
      <c r="A20" s="565"/>
      <c r="B20" s="562"/>
      <c r="C20" s="420"/>
      <c r="D20" s="61" t="s">
        <v>43</v>
      </c>
      <c r="E20" s="130">
        <f>E19/$E$2</f>
        <v>1.3888888888888888</v>
      </c>
    </row>
    <row r="21" spans="1:6" s="16" customFormat="1" ht="25.5" customHeight="1">
      <c r="A21" s="565"/>
      <c r="B21" s="562"/>
      <c r="C21" s="421"/>
      <c r="D21" s="61" t="s">
        <v>0</v>
      </c>
      <c r="E21" s="249">
        <f>IF(E20&lt;300%,4,IF(E20&lt;400%,3.6,IF(E20&lt;500%,3.2,IF(E20&lt;600%,2.8,2.4))))</f>
        <v>4</v>
      </c>
    </row>
    <row r="22" spans="1:6" s="16" customFormat="1" ht="25.5" customHeight="1">
      <c r="A22" s="565"/>
      <c r="B22" s="562" t="s">
        <v>49</v>
      </c>
      <c r="C22" s="415" t="str">
        <f>참여기술자!C36</f>
        <v>B엔지니어링</v>
      </c>
      <c r="D22" s="61" t="s">
        <v>6</v>
      </c>
      <c r="E22" s="103" t="str">
        <f>참여기술자!E36</f>
        <v>홍길동5</v>
      </c>
    </row>
    <row r="23" spans="1:6" s="16" customFormat="1" ht="25.5" customHeight="1">
      <c r="A23" s="565"/>
      <c r="B23" s="562"/>
      <c r="C23" s="420"/>
      <c r="D23" s="143" t="s">
        <v>42</v>
      </c>
      <c r="E23" s="144">
        <f>입력!N18</f>
        <v>48.3</v>
      </c>
    </row>
    <row r="24" spans="1:6" ht="25.5" customHeight="1">
      <c r="A24" s="565"/>
      <c r="B24" s="562"/>
      <c r="C24" s="420"/>
      <c r="D24" s="56" t="s">
        <v>43</v>
      </c>
      <c r="E24" s="130">
        <f>E23/$E$2</f>
        <v>2.6833333333333331</v>
      </c>
    </row>
    <row r="25" spans="1:6" ht="25.5" customHeight="1">
      <c r="A25" s="566"/>
      <c r="B25" s="562"/>
      <c r="C25" s="421"/>
      <c r="D25" s="3" t="s">
        <v>0</v>
      </c>
      <c r="E25" s="249">
        <f>IF(E24&lt;300%,4,IF(E24&lt;400%,3.6,IF(E24&lt;500%,3.2,IF(E24&lt;600%,2.8,2.4))))</f>
        <v>4</v>
      </c>
    </row>
    <row r="26" spans="1:6" ht="25.5" customHeight="1">
      <c r="A26" s="557" t="s">
        <v>13</v>
      </c>
      <c r="B26" s="557"/>
      <c r="C26" s="254"/>
      <c r="D26" s="22">
        <v>4</v>
      </c>
      <c r="E26" s="15">
        <f>SUM(E13,E17,E21,E25)/$D$26</f>
        <v>4</v>
      </c>
    </row>
    <row r="27" spans="1:6" s="42" customFormat="1" ht="22.5" customHeight="1">
      <c r="A27" s="57"/>
      <c r="B27" s="57"/>
      <c r="C27" s="57"/>
      <c r="D27" s="57"/>
      <c r="E27" s="132"/>
    </row>
    <row r="28" spans="1:6" s="45" customFormat="1" ht="25.5" customHeight="1">
      <c r="A28" s="556" t="s">
        <v>128</v>
      </c>
      <c r="B28" s="556"/>
      <c r="C28" s="556"/>
      <c r="D28" s="556"/>
      <c r="E28" s="556"/>
      <c r="F28" s="39"/>
    </row>
    <row r="29" spans="1:6" ht="54.95" customHeight="1">
      <c r="A29" s="563" t="str">
        <f>A3</f>
        <v xml:space="preserve">                                                        회사별
   구     분</v>
      </c>
      <c r="B29" s="563"/>
      <c r="C29" s="563"/>
      <c r="D29" s="563"/>
      <c r="E29" s="75" t="str">
        <f>참여기술자!E$7</f>
        <v>A엔지니어링, B엔지니어링, C엔지니어링, D엔지니어링, E엔지니어링</v>
      </c>
    </row>
    <row r="30" spans="1:6" s="16" customFormat="1" ht="25.5" customHeight="1">
      <c r="A30" s="564" t="s">
        <v>299</v>
      </c>
      <c r="B30" s="562" t="s">
        <v>77</v>
      </c>
      <c r="C30" s="415" t="str">
        <f>참여기술자!C76</f>
        <v>A엔지니어링</v>
      </c>
      <c r="D30" s="61" t="s">
        <v>6</v>
      </c>
      <c r="E30" s="103" t="str">
        <f>참여기술자!E76</f>
        <v>홍길동6</v>
      </c>
    </row>
    <row r="31" spans="1:6" s="16" customFormat="1" ht="25.5" customHeight="1">
      <c r="A31" s="565"/>
      <c r="B31" s="562"/>
      <c r="C31" s="420"/>
      <c r="D31" s="143" t="s">
        <v>42</v>
      </c>
      <c r="E31" s="144">
        <f>입력!N19</f>
        <v>12</v>
      </c>
    </row>
    <row r="32" spans="1:6" s="16" customFormat="1" ht="25.5" customHeight="1">
      <c r="A32" s="565"/>
      <c r="B32" s="562"/>
      <c r="C32" s="420"/>
      <c r="D32" s="61" t="s">
        <v>43</v>
      </c>
      <c r="E32" s="130">
        <f>E31/$E$2</f>
        <v>0.66666666666666663</v>
      </c>
    </row>
    <row r="33" spans="1:6" s="16" customFormat="1" ht="25.5" customHeight="1">
      <c r="A33" s="565"/>
      <c r="B33" s="562"/>
      <c r="C33" s="421"/>
      <c r="D33" s="61" t="s">
        <v>0</v>
      </c>
      <c r="E33" s="131">
        <f>IF(E32&lt;300%,2,IF(E32&lt;400%,1.8,IF(E32&lt;500%,1.6,IF(E32&lt;600%,1.4,1.2))))</f>
        <v>2</v>
      </c>
    </row>
    <row r="34" spans="1:6" s="16" customFormat="1" ht="25.5" customHeight="1">
      <c r="A34" s="565"/>
      <c r="B34" s="562" t="s">
        <v>47</v>
      </c>
      <c r="C34" s="415" t="str">
        <f>참여기술자!C79</f>
        <v>B엔지니어링</v>
      </c>
      <c r="D34" s="61" t="s">
        <v>6</v>
      </c>
      <c r="E34" s="103" t="str">
        <f>참여기술자!E79</f>
        <v>홍길동7</v>
      </c>
    </row>
    <row r="35" spans="1:6" s="16" customFormat="1" ht="25.5" customHeight="1">
      <c r="A35" s="565"/>
      <c r="B35" s="562"/>
      <c r="C35" s="420"/>
      <c r="D35" s="143" t="s">
        <v>42</v>
      </c>
      <c r="E35" s="144">
        <f>입력!N20</f>
        <v>8.9</v>
      </c>
    </row>
    <row r="36" spans="1:6" s="16" customFormat="1" ht="25.5" customHeight="1">
      <c r="A36" s="565"/>
      <c r="B36" s="562"/>
      <c r="C36" s="420"/>
      <c r="D36" s="61" t="s">
        <v>43</v>
      </c>
      <c r="E36" s="130">
        <f>E35/$E$2</f>
        <v>0.49444444444444446</v>
      </c>
    </row>
    <row r="37" spans="1:6" s="16" customFormat="1" ht="25.5" customHeight="1">
      <c r="A37" s="565"/>
      <c r="B37" s="562"/>
      <c r="C37" s="421"/>
      <c r="D37" s="61" t="s">
        <v>0</v>
      </c>
      <c r="E37" s="249">
        <f>IF(E36&lt;300%,2,IF(E36&lt;400%,1.8,IF(E36&lt;500%,1.6,IF(E36&lt;600%,1.4,1.2))))</f>
        <v>2</v>
      </c>
    </row>
    <row r="38" spans="1:6" s="16" customFormat="1" ht="25.5" customHeight="1">
      <c r="A38" s="565"/>
      <c r="B38" s="562" t="s">
        <v>44</v>
      </c>
      <c r="C38" s="415" t="str">
        <f>참여기술자!C82</f>
        <v>A엔지니어링</v>
      </c>
      <c r="D38" s="61" t="s">
        <v>6</v>
      </c>
      <c r="E38" s="103" t="str">
        <f>참여기술자!E82</f>
        <v>홍길동8</v>
      </c>
    </row>
    <row r="39" spans="1:6" s="16" customFormat="1" ht="25.5" customHeight="1">
      <c r="A39" s="565"/>
      <c r="B39" s="562"/>
      <c r="C39" s="420"/>
      <c r="D39" s="143" t="s">
        <v>42</v>
      </c>
      <c r="E39" s="144">
        <f>입력!N21</f>
        <v>12</v>
      </c>
    </row>
    <row r="40" spans="1:6" s="16" customFormat="1" ht="25.5" customHeight="1">
      <c r="A40" s="565"/>
      <c r="B40" s="562"/>
      <c r="C40" s="420"/>
      <c r="D40" s="61" t="s">
        <v>43</v>
      </c>
      <c r="E40" s="130">
        <f>E39/$E$2</f>
        <v>0.66666666666666663</v>
      </c>
    </row>
    <row r="41" spans="1:6" s="16" customFormat="1" ht="25.5" customHeight="1">
      <c r="A41" s="565"/>
      <c r="B41" s="562"/>
      <c r="C41" s="421"/>
      <c r="D41" s="61" t="s">
        <v>0</v>
      </c>
      <c r="E41" s="249">
        <f>IF(E40&lt;300%,2,IF(E40&lt;400%,1.8,IF(E40&lt;500%,1.6,IF(E40&lt;600%,1.4,1.2))))</f>
        <v>2</v>
      </c>
    </row>
    <row r="42" spans="1:6" s="16" customFormat="1" ht="25.5" customHeight="1">
      <c r="A42" s="565"/>
      <c r="B42" s="562" t="s">
        <v>49</v>
      </c>
      <c r="C42" s="415" t="str">
        <f>참여기술자!C85</f>
        <v>A엔지니어링</v>
      </c>
      <c r="D42" s="61" t="s">
        <v>6</v>
      </c>
      <c r="E42" s="103" t="str">
        <f>참여기술자!E85</f>
        <v>홍길동9</v>
      </c>
    </row>
    <row r="43" spans="1:6" s="16" customFormat="1" ht="25.5" customHeight="1">
      <c r="A43" s="565"/>
      <c r="B43" s="562"/>
      <c r="C43" s="420"/>
      <c r="D43" s="143" t="s">
        <v>42</v>
      </c>
      <c r="E43" s="144">
        <f>입력!N22</f>
        <v>21.2</v>
      </c>
    </row>
    <row r="44" spans="1:6" ht="25.5" customHeight="1">
      <c r="A44" s="565"/>
      <c r="B44" s="562"/>
      <c r="C44" s="420"/>
      <c r="D44" s="56" t="s">
        <v>43</v>
      </c>
      <c r="E44" s="129">
        <f>E43/$E$2</f>
        <v>1.1777777777777778</v>
      </c>
    </row>
    <row r="45" spans="1:6" ht="25.5" customHeight="1">
      <c r="A45" s="566"/>
      <c r="B45" s="562"/>
      <c r="C45" s="421"/>
      <c r="D45" s="3" t="s">
        <v>0</v>
      </c>
      <c r="E45" s="249">
        <f>IF(E44&lt;300%,2,IF(E44&lt;400%,1.8,IF(E44&lt;500%,1.6,IF(E44&lt;600%,1.4,1.2))))</f>
        <v>2</v>
      </c>
    </row>
    <row r="46" spans="1:6" ht="25.5" customHeight="1">
      <c r="A46" s="557" t="s">
        <v>13</v>
      </c>
      <c r="B46" s="557"/>
      <c r="C46" s="254"/>
      <c r="D46" s="22">
        <v>4</v>
      </c>
      <c r="E46" s="15">
        <f>SUM(E33,E37,E41,E45)/$D$26</f>
        <v>2</v>
      </c>
    </row>
    <row r="48" spans="1:6" s="45" customFormat="1" ht="25.5" customHeight="1">
      <c r="A48" s="570" t="s">
        <v>82</v>
      </c>
      <c r="B48" s="570"/>
      <c r="C48" s="570"/>
      <c r="D48" s="570"/>
      <c r="E48" s="571"/>
      <c r="F48" s="39"/>
    </row>
    <row r="49" spans="1:5" ht="54.95" customHeight="1">
      <c r="A49" s="563" t="str">
        <f>A3</f>
        <v xml:space="preserve">                                                        회사별
   구     분</v>
      </c>
      <c r="B49" s="563"/>
      <c r="C49" s="563"/>
      <c r="D49" s="563"/>
      <c r="E49" s="75" t="str">
        <f>참여기술자!E$7</f>
        <v>A엔지니어링, B엔지니어링, C엔지니어링, D엔지니어링, E엔지니어링</v>
      </c>
    </row>
    <row r="50" spans="1:5" s="16" customFormat="1" ht="25.5" customHeight="1">
      <c r="A50" s="564" t="s">
        <v>300</v>
      </c>
      <c r="B50" s="562" t="s">
        <v>77</v>
      </c>
      <c r="C50" s="415" t="str">
        <f>입력!D23</f>
        <v>B엔지니어링</v>
      </c>
      <c r="D50" s="61" t="s">
        <v>6</v>
      </c>
      <c r="E50" s="133" t="str">
        <f>입력!E23</f>
        <v>홍길동10 등 2명</v>
      </c>
    </row>
    <row r="51" spans="1:5" s="16" customFormat="1" ht="25.5" customHeight="1">
      <c r="A51" s="565"/>
      <c r="B51" s="562"/>
      <c r="C51" s="420"/>
      <c r="D51" s="143" t="s">
        <v>42</v>
      </c>
      <c r="E51" s="145">
        <f>SUMIF(입력!$C$23:$C$26,"수자원",입력!$N$23:$N$26)/COUNTIF(입력!$C$23:$C$26,"수자원")</f>
        <v>1</v>
      </c>
    </row>
    <row r="52" spans="1:5" s="16" customFormat="1" ht="25.5" customHeight="1">
      <c r="A52" s="565"/>
      <c r="B52" s="562"/>
      <c r="C52" s="420"/>
      <c r="D52" s="61" t="s">
        <v>43</v>
      </c>
      <c r="E52" s="134">
        <f>E51/$E$2</f>
        <v>5.5555555555555552E-2</v>
      </c>
    </row>
    <row r="53" spans="1:5" s="16" customFormat="1" ht="25.5" customHeight="1">
      <c r="A53" s="565"/>
      <c r="B53" s="562"/>
      <c r="C53" s="421"/>
      <c r="D53" s="61" t="s">
        <v>0</v>
      </c>
      <c r="E53" s="135">
        <f>IF(E52&lt;300%,1,IF(E52&lt;400%,0.8,IF(E52&lt;500%,0.6,IF(E52&lt;600%,0.4,0.2))))</f>
        <v>1</v>
      </c>
    </row>
    <row r="54" spans="1:5" s="16" customFormat="1" ht="25.5" customHeight="1">
      <c r="A54" s="565"/>
      <c r="B54" s="562" t="s">
        <v>47</v>
      </c>
      <c r="C54" s="415" t="str">
        <f>입력!D24</f>
        <v>B엔지니어링</v>
      </c>
      <c r="D54" s="61" t="s">
        <v>6</v>
      </c>
      <c r="E54" s="133" t="str">
        <f>입력!E24</f>
        <v>홍길동11 등 3명</v>
      </c>
    </row>
    <row r="55" spans="1:5" s="16" customFormat="1" ht="25.5" customHeight="1">
      <c r="A55" s="565"/>
      <c r="B55" s="562"/>
      <c r="C55" s="420"/>
      <c r="D55" s="143" t="s">
        <v>42</v>
      </c>
      <c r="E55" s="145">
        <f>SUMIF(입력!$C$23:$C$26,"토질",입력!$N$23:$N$26)/COUNTIF(입력!$C$23:$C$26,"토질")</f>
        <v>6</v>
      </c>
    </row>
    <row r="56" spans="1:5" s="16" customFormat="1" ht="25.5" customHeight="1">
      <c r="A56" s="565"/>
      <c r="B56" s="562"/>
      <c r="C56" s="420"/>
      <c r="D56" s="61" t="s">
        <v>43</v>
      </c>
      <c r="E56" s="134">
        <f>E55/$E$2</f>
        <v>0.33333333333333331</v>
      </c>
    </row>
    <row r="57" spans="1:5" s="16" customFormat="1" ht="25.5" customHeight="1">
      <c r="A57" s="565"/>
      <c r="B57" s="562"/>
      <c r="C57" s="421"/>
      <c r="D57" s="61" t="s">
        <v>0</v>
      </c>
      <c r="E57" s="135">
        <f>IF(E56&lt;300%,1,IF(E56&lt;400%,0.8,IF(E56&lt;500%,0.6,IF(E56&lt;600%,0.4,0.2))))</f>
        <v>1</v>
      </c>
    </row>
    <row r="58" spans="1:5" s="16" customFormat="1" ht="25.5" customHeight="1">
      <c r="A58" s="565"/>
      <c r="B58" s="562" t="s">
        <v>44</v>
      </c>
      <c r="C58" s="415" t="str">
        <f>입력!D25</f>
        <v>A엔지니어링</v>
      </c>
      <c r="D58" s="61" t="s">
        <v>6</v>
      </c>
      <c r="E58" s="133" t="str">
        <f>입력!E25</f>
        <v>홍길동12 등 2명</v>
      </c>
    </row>
    <row r="59" spans="1:5" s="16" customFormat="1" ht="25.5" customHeight="1">
      <c r="A59" s="565"/>
      <c r="B59" s="562"/>
      <c r="C59" s="420"/>
      <c r="D59" s="143" t="s">
        <v>42</v>
      </c>
      <c r="E59" s="145">
        <f>SUMIF(입력!$C$23:$C$26,"구조",입력!$N$23:$N$26)/COUNTIF(입력!$C$23:$C$26,"구조")</f>
        <v>6</v>
      </c>
    </row>
    <row r="60" spans="1:5" s="16" customFormat="1" ht="25.5" customHeight="1">
      <c r="A60" s="565"/>
      <c r="B60" s="562"/>
      <c r="C60" s="420"/>
      <c r="D60" s="61" t="s">
        <v>43</v>
      </c>
      <c r="E60" s="134">
        <f>E59/$E$2</f>
        <v>0.33333333333333331</v>
      </c>
    </row>
    <row r="61" spans="1:5" s="16" customFormat="1" ht="25.5" customHeight="1">
      <c r="A61" s="565"/>
      <c r="B61" s="562"/>
      <c r="C61" s="421"/>
      <c r="D61" s="61" t="s">
        <v>0</v>
      </c>
      <c r="E61" s="135">
        <f>IF(E60&lt;300%,1,IF(E60&lt;400%,0.8,IF(E60&lt;500%,0.6,IF(E60&lt;600%,0.4,0.2))))</f>
        <v>1</v>
      </c>
    </row>
    <row r="62" spans="1:5" s="16" customFormat="1" ht="25.5" customHeight="1">
      <c r="A62" s="565"/>
      <c r="B62" s="562" t="s">
        <v>49</v>
      </c>
      <c r="C62" s="415" t="str">
        <f>입력!D26</f>
        <v>A엔지니어링</v>
      </c>
      <c r="D62" s="61" t="s">
        <v>6</v>
      </c>
      <c r="E62" s="133" t="str">
        <f>입력!E26</f>
        <v>홍길동13 등 2명</v>
      </c>
    </row>
    <row r="63" spans="1:5" s="16" customFormat="1" ht="25.5" customHeight="1">
      <c r="A63" s="565"/>
      <c r="B63" s="562"/>
      <c r="C63" s="420"/>
      <c r="D63" s="143" t="s">
        <v>42</v>
      </c>
      <c r="E63" s="145">
        <f>SUMIF(입력!$C$23:$C$26,"수질",입력!$N$23:$N$26)/COUNTIF(입력!$C$23:$C$26,"수질")</f>
        <v>6</v>
      </c>
    </row>
    <row r="64" spans="1:5" s="16" customFormat="1" ht="25.5" customHeight="1">
      <c r="A64" s="565"/>
      <c r="B64" s="562"/>
      <c r="C64" s="420"/>
      <c r="D64" s="61" t="s">
        <v>43</v>
      </c>
      <c r="E64" s="134">
        <f>E63/$E$2</f>
        <v>0.33333333333333331</v>
      </c>
    </row>
    <row r="65" spans="1:5" ht="25.5" customHeight="1">
      <c r="A65" s="566"/>
      <c r="B65" s="562"/>
      <c r="C65" s="421"/>
      <c r="D65" s="3" t="s">
        <v>0</v>
      </c>
      <c r="E65" s="135">
        <f>IF(E64&lt;300%,1,IF(E64&lt;400%,0.8,IF(E64&lt;500%,0.6,IF(E64&lt;600%,0.4,0.2))))</f>
        <v>1</v>
      </c>
    </row>
    <row r="66" spans="1:5" ht="25.5" customHeight="1">
      <c r="A66" s="557" t="s">
        <v>13</v>
      </c>
      <c r="B66" s="557"/>
      <c r="C66" s="254"/>
      <c r="D66" s="22">
        <v>4</v>
      </c>
      <c r="E66" s="60">
        <f>SUM(E53,E57,E61,E65)/$D$26</f>
        <v>1</v>
      </c>
    </row>
  </sheetData>
  <sheetProtection algorithmName="SHA-512" hashValue="yL+IwnFvDDg3LRWcjzAgk/S+nK/sppepwSonPxncoIdL6Aafo1/ad0EuRI3ZLsJQ3StgiTWA3r1OBMWly549dQ==" saltValue="7ReK61mYaAOE5MxI9DrfDQ==" spinCount="100000" sheet="1" objects="1" scenarios="1"/>
  <mergeCells count="42">
    <mergeCell ref="C42:C45"/>
    <mergeCell ref="C50:C53"/>
    <mergeCell ref="C54:C57"/>
    <mergeCell ref="C58:C61"/>
    <mergeCell ref="C62:C65"/>
    <mergeCell ref="A66:B66"/>
    <mergeCell ref="A50:A65"/>
    <mergeCell ref="B50:B53"/>
    <mergeCell ref="B54:B57"/>
    <mergeCell ref="B58:B61"/>
    <mergeCell ref="B62:B65"/>
    <mergeCell ref="A46:B46"/>
    <mergeCell ref="A48:E48"/>
    <mergeCell ref="B14:B17"/>
    <mergeCell ref="A49:D49"/>
    <mergeCell ref="A29:D29"/>
    <mergeCell ref="A30:A45"/>
    <mergeCell ref="B30:B33"/>
    <mergeCell ref="B34:B37"/>
    <mergeCell ref="B38:B41"/>
    <mergeCell ref="B42:B45"/>
    <mergeCell ref="C14:C17"/>
    <mergeCell ref="C18:C21"/>
    <mergeCell ref="C22:C25"/>
    <mergeCell ref="C30:C33"/>
    <mergeCell ref="C34:C37"/>
    <mergeCell ref="C38:C41"/>
    <mergeCell ref="A2:D2"/>
    <mergeCell ref="A28:E28"/>
    <mergeCell ref="A26:B26"/>
    <mergeCell ref="A1:E1"/>
    <mergeCell ref="A4:B6"/>
    <mergeCell ref="A7:D7"/>
    <mergeCell ref="A3:D3"/>
    <mergeCell ref="B22:B25"/>
    <mergeCell ref="B10:B13"/>
    <mergeCell ref="B18:B21"/>
    <mergeCell ref="A9:D9"/>
    <mergeCell ref="A10:A25"/>
    <mergeCell ref="A8:E8"/>
    <mergeCell ref="C4:C6"/>
    <mergeCell ref="C10:C13"/>
  </mergeCells>
  <phoneticPr fontId="2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8" fitToHeight="14" orientation="portrait" horizontalDpi="4294967294" r:id="rId1"/>
  <headerFooter alignWithMargins="0"/>
  <rowBreaks count="2" manualBreakCount="2">
    <brk id="26" max="16383" man="1"/>
    <brk id="4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BreakPreview" zoomScaleNormal="100" zoomScaleSheetLayoutView="100" workbookViewId="0">
      <pane xSplit="3" ySplit="3" topLeftCell="D4" activePane="bottomRight" state="frozen"/>
      <selection activeCell="D169" sqref="D169"/>
      <selection pane="topRight" activeCell="D169" sqref="D169"/>
      <selection pane="bottomLeft" activeCell="D169" sqref="D169"/>
      <selection pane="bottomRight" activeCell="G19" sqref="G19"/>
    </sheetView>
  </sheetViews>
  <sheetFormatPr defaultRowHeight="16.5"/>
  <cols>
    <col min="1" max="1" width="17.33203125" style="11" customWidth="1"/>
    <col min="2" max="2" width="8.88671875" style="11"/>
    <col min="3" max="3" width="11.44140625" style="11" customWidth="1"/>
    <col min="4" max="4" width="50.77734375" style="76" customWidth="1"/>
    <col min="5" max="16384" width="8.88671875" style="11"/>
  </cols>
  <sheetData>
    <row r="1" spans="1:5" ht="27" customHeight="1">
      <c r="A1" s="572" t="s">
        <v>325</v>
      </c>
      <c r="B1" s="572"/>
      <c r="C1" s="572"/>
      <c r="D1" s="572"/>
    </row>
    <row r="2" spans="1:5" s="14" customFormat="1" ht="40.5" customHeight="1">
      <c r="A2" s="556" t="s">
        <v>315</v>
      </c>
      <c r="B2" s="556"/>
      <c r="C2" s="556"/>
      <c r="D2" s="86"/>
      <c r="E2" s="11"/>
    </row>
    <row r="3" spans="1:5" s="39" customFormat="1" ht="54.95" customHeight="1">
      <c r="A3" s="561" t="s">
        <v>312</v>
      </c>
      <c r="B3" s="561"/>
      <c r="C3" s="561"/>
      <c r="D3" s="75" t="str">
        <f>참여기술자!E$7</f>
        <v>A엔지니어링, B엔지니어링, C엔지니어링, D엔지니어링, E엔지니어링</v>
      </c>
      <c r="E3" s="204" t="s">
        <v>270</v>
      </c>
    </row>
    <row r="4" spans="1:5" s="16" customFormat="1" ht="32.25" customHeight="1">
      <c r="A4" s="415" t="s">
        <v>52</v>
      </c>
      <c r="B4" s="573" t="str">
        <f>입력!D31</f>
        <v>A엔지니어링</v>
      </c>
      <c r="C4" s="143" t="s">
        <v>53</v>
      </c>
      <c r="D4" s="215">
        <f>입력!Z31/100</f>
        <v>0.03</v>
      </c>
      <c r="E4" s="179"/>
    </row>
    <row r="5" spans="1:5" s="16" customFormat="1" ht="32.25" customHeight="1">
      <c r="A5" s="420"/>
      <c r="B5" s="573"/>
      <c r="C5" s="100" t="s">
        <v>54</v>
      </c>
      <c r="D5" s="165">
        <f>IF(D4&gt;=3%,0.3,IF(D4&gt;=2%,0.2,IF(D4&gt;=1%,0.1,IF(D4&lt;1%,0))))</f>
        <v>0.3</v>
      </c>
    </row>
    <row r="6" spans="1:5" s="58" customFormat="1" ht="32.25" customHeight="1">
      <c r="A6" s="420"/>
      <c r="B6" s="573"/>
      <c r="C6" s="166" t="s">
        <v>50</v>
      </c>
      <c r="D6" s="167">
        <f>'유사용역 '!$D$5</f>
        <v>0.7</v>
      </c>
    </row>
    <row r="7" spans="1:5" s="16" customFormat="1" ht="32.25" customHeight="1">
      <c r="A7" s="420"/>
      <c r="B7" s="573"/>
      <c r="C7" s="100" t="s">
        <v>51</v>
      </c>
      <c r="D7" s="168">
        <f>D5*D6</f>
        <v>0.21</v>
      </c>
    </row>
    <row r="8" spans="1:5" s="16" customFormat="1" ht="32.25" customHeight="1">
      <c r="A8" s="420"/>
      <c r="B8" s="573" t="str">
        <f>입력!D32</f>
        <v>B엔지니어링</v>
      </c>
      <c r="C8" s="143" t="s">
        <v>53</v>
      </c>
      <c r="D8" s="216">
        <f>입력!Z32/100</f>
        <v>0.03</v>
      </c>
    </row>
    <row r="9" spans="1:5" s="16" customFormat="1" ht="32.25" customHeight="1">
      <c r="A9" s="420"/>
      <c r="B9" s="573"/>
      <c r="C9" s="100" t="s">
        <v>54</v>
      </c>
      <c r="D9" s="165">
        <f>IF(D8&gt;=3%,0.3,IF(D8&gt;=2%,0.2,IF(D8&gt;=1%,0.1,IF(D8&lt;1%,0))))</f>
        <v>0.3</v>
      </c>
    </row>
    <row r="10" spans="1:5" s="58" customFormat="1" ht="32.25" customHeight="1">
      <c r="A10" s="420"/>
      <c r="B10" s="574"/>
      <c r="C10" s="166" t="s">
        <v>50</v>
      </c>
      <c r="D10" s="167">
        <f>'유사용역 '!$D$8</f>
        <v>0.3</v>
      </c>
    </row>
    <row r="11" spans="1:5" s="16" customFormat="1" ht="32.25" customHeight="1">
      <c r="A11" s="420"/>
      <c r="B11" s="574"/>
      <c r="C11" s="100" t="s">
        <v>55</v>
      </c>
      <c r="D11" s="168">
        <f>D9*D10</f>
        <v>0.09</v>
      </c>
    </row>
    <row r="12" spans="1:5" s="16" customFormat="1" ht="32.25" customHeight="1">
      <c r="A12" s="420"/>
      <c r="B12" s="573" t="str">
        <f>입력!D33</f>
        <v>C엔지니어링</v>
      </c>
      <c r="C12" s="143" t="s">
        <v>53</v>
      </c>
      <c r="D12" s="216">
        <f>입력!Z33/100</f>
        <v>0</v>
      </c>
    </row>
    <row r="13" spans="1:5" s="16" customFormat="1" ht="32.25" customHeight="1">
      <c r="A13" s="420"/>
      <c r="B13" s="573"/>
      <c r="C13" s="100" t="s">
        <v>54</v>
      </c>
      <c r="D13" s="165">
        <f>IF(D12&gt;=3%,0.3,IF(D12&gt;=2%,0.2,IF(D12&gt;=1%,0.1,IF(D12&lt;1%,0))))</f>
        <v>0</v>
      </c>
    </row>
    <row r="14" spans="1:5" s="16" customFormat="1" ht="32.25" customHeight="1">
      <c r="A14" s="420"/>
      <c r="B14" s="574"/>
      <c r="C14" s="100" t="s">
        <v>50</v>
      </c>
      <c r="D14" s="167">
        <f>'유사용역 '!$D$11</f>
        <v>0</v>
      </c>
    </row>
    <row r="15" spans="1:5" s="16" customFormat="1" ht="32.25" customHeight="1">
      <c r="A15" s="420"/>
      <c r="B15" s="574"/>
      <c r="C15" s="100" t="s">
        <v>56</v>
      </c>
      <c r="D15" s="168">
        <f>D13*D14</f>
        <v>0</v>
      </c>
    </row>
    <row r="16" spans="1:5" s="16" customFormat="1" ht="32.25" customHeight="1">
      <c r="A16" s="420"/>
      <c r="B16" s="573" t="str">
        <f>입력!D34</f>
        <v>D엔지니어링</v>
      </c>
      <c r="C16" s="143" t="s">
        <v>53</v>
      </c>
      <c r="D16" s="216">
        <f>입력!Z34/100</f>
        <v>0</v>
      </c>
    </row>
    <row r="17" spans="1:4" s="16" customFormat="1" ht="32.25" customHeight="1">
      <c r="A17" s="420"/>
      <c r="B17" s="573"/>
      <c r="C17" s="100" t="s">
        <v>20</v>
      </c>
      <c r="D17" s="165">
        <f>IF(D16&gt;=3%,0.3,IF(D16&gt;=2%,0.2,IF(D16&gt;=1%,0.1,IF(D16&lt;1%,0))))</f>
        <v>0</v>
      </c>
    </row>
    <row r="18" spans="1:4" s="16" customFormat="1" ht="32.25" customHeight="1">
      <c r="A18" s="420"/>
      <c r="B18" s="574"/>
      <c r="C18" s="100" t="s">
        <v>12</v>
      </c>
      <c r="D18" s="167">
        <f>'유사용역 '!$D$14</f>
        <v>0</v>
      </c>
    </row>
    <row r="19" spans="1:4" s="16" customFormat="1" ht="32.25" customHeight="1">
      <c r="A19" s="420"/>
      <c r="B19" s="574"/>
      <c r="C19" s="100" t="s">
        <v>85</v>
      </c>
      <c r="D19" s="168">
        <f>D17*D18</f>
        <v>0</v>
      </c>
    </row>
    <row r="20" spans="1:4" s="16" customFormat="1" ht="32.25" customHeight="1">
      <c r="A20" s="420"/>
      <c r="B20" s="573" t="str">
        <f>입력!D35</f>
        <v>E엔지니어링</v>
      </c>
      <c r="C20" s="143" t="s">
        <v>53</v>
      </c>
      <c r="D20" s="216">
        <f>입력!Z35/100</f>
        <v>0</v>
      </c>
    </row>
    <row r="21" spans="1:4" s="16" customFormat="1" ht="32.25" customHeight="1">
      <c r="A21" s="420"/>
      <c r="B21" s="573"/>
      <c r="C21" s="100" t="s">
        <v>20</v>
      </c>
      <c r="D21" s="165">
        <f>IF(D20&gt;=3%,0.3,IF(D20&gt;=2%,0.2,IF(D20&gt;=1%,0.1,IF(D20&lt;1%,0))))</f>
        <v>0</v>
      </c>
    </row>
    <row r="22" spans="1:4" s="16" customFormat="1" ht="32.25" customHeight="1">
      <c r="A22" s="420"/>
      <c r="B22" s="574"/>
      <c r="C22" s="100" t="s">
        <v>12</v>
      </c>
      <c r="D22" s="167">
        <f>'유사용역 '!$D$14</f>
        <v>0</v>
      </c>
    </row>
    <row r="23" spans="1:4" s="16" customFormat="1" ht="32.25" customHeight="1">
      <c r="A23" s="421"/>
      <c r="B23" s="574"/>
      <c r="C23" s="100" t="s">
        <v>213</v>
      </c>
      <c r="D23" s="168">
        <f>D21*D22</f>
        <v>0</v>
      </c>
    </row>
    <row r="24" spans="1:4" s="16" customFormat="1" ht="32.25" customHeight="1">
      <c r="A24" s="473" t="s">
        <v>216</v>
      </c>
      <c r="B24" s="473"/>
      <c r="C24" s="473"/>
      <c r="D24" s="136">
        <f>SUM(D7,D11,D15,D19,D23)</f>
        <v>0.3</v>
      </c>
    </row>
    <row r="25" spans="1:4" s="39" customFormat="1" ht="32.25" customHeight="1">
      <c r="A25" s="469" t="s">
        <v>57</v>
      </c>
      <c r="B25" s="469"/>
      <c r="C25" s="469"/>
      <c r="D25" s="59">
        <f>D24</f>
        <v>0.3</v>
      </c>
    </row>
    <row r="26" spans="1:4" ht="40.5" customHeight="1">
      <c r="A26" s="556" t="s">
        <v>316</v>
      </c>
      <c r="B26" s="556"/>
      <c r="C26" s="556"/>
      <c r="D26" s="86"/>
    </row>
    <row r="27" spans="1:4" ht="54.75" customHeight="1">
      <c r="A27" s="561" t="s">
        <v>312</v>
      </c>
      <c r="B27" s="561"/>
      <c r="C27" s="561"/>
      <c r="D27" s="75" t="str">
        <f>참여기술자!E$7</f>
        <v>A엔지니어링, B엔지니어링, C엔지니어링, D엔지니어링, E엔지니어링</v>
      </c>
    </row>
    <row r="28" spans="1:4" ht="32.450000000000003" customHeight="1">
      <c r="A28" s="415" t="s">
        <v>338</v>
      </c>
      <c r="B28" s="415" t="s">
        <v>332</v>
      </c>
      <c r="C28" s="282" t="s">
        <v>337</v>
      </c>
      <c r="D28" s="283">
        <f>입력!AA31</f>
        <v>1</v>
      </c>
    </row>
    <row r="29" spans="1:4" ht="32.450000000000003" customHeight="1">
      <c r="A29" s="420"/>
      <c r="B29" s="420"/>
      <c r="C29" s="282" t="s">
        <v>336</v>
      </c>
      <c r="D29" s="283">
        <f>입력!AB31</f>
        <v>13</v>
      </c>
    </row>
    <row r="30" spans="1:4" ht="32.25" customHeight="1">
      <c r="A30" s="420"/>
      <c r="B30" s="420"/>
      <c r="C30" s="143" t="s">
        <v>339</v>
      </c>
      <c r="D30" s="215">
        <f>입력!AC31/100</f>
        <v>7.6923076923076927E-2</v>
      </c>
    </row>
    <row r="31" spans="1:4" ht="32.25" customHeight="1">
      <c r="A31" s="420"/>
      <c r="B31" s="420"/>
      <c r="C31" s="263" t="s">
        <v>20</v>
      </c>
      <c r="D31" s="165">
        <f>IF(D30&gt;=5%,0.2,IF(D30&gt;=3%,0.15,IF(D30&gt;=1%,0.1,IF(D30&lt;1%,0))))</f>
        <v>0.2</v>
      </c>
    </row>
    <row r="32" spans="1:4" ht="32.25" customHeight="1">
      <c r="A32" s="469" t="s">
        <v>0</v>
      </c>
      <c r="B32" s="469"/>
      <c r="C32" s="469"/>
      <c r="D32" s="59">
        <f>SUM(D31)</f>
        <v>0.2</v>
      </c>
    </row>
  </sheetData>
  <sheetProtection algorithmName="SHA-512" hashValue="lX6jihSlm0YQSVA41qz4Y22Zj/2WR1OeQTq3ZrLjRrlDs63pWpQCzW3c+z/mkijARXkL0EDJLkC9TXb7tCtG7A==" saltValue="U2L5wRyzxzMBKdO76ae/fQ==" spinCount="100000" sheet="1" objects="1" scenarios="1"/>
  <mergeCells count="16">
    <mergeCell ref="A4:A23"/>
    <mergeCell ref="A24:C24"/>
    <mergeCell ref="A25:C25"/>
    <mergeCell ref="A1:D1"/>
    <mergeCell ref="A3:C3"/>
    <mergeCell ref="B4:B7"/>
    <mergeCell ref="B8:B11"/>
    <mergeCell ref="B12:B15"/>
    <mergeCell ref="B16:B19"/>
    <mergeCell ref="B20:B23"/>
    <mergeCell ref="A2:C2"/>
    <mergeCell ref="A32:C32"/>
    <mergeCell ref="A26:C26"/>
    <mergeCell ref="A27:C27"/>
    <mergeCell ref="A28:A31"/>
    <mergeCell ref="B28:B3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1" manualBreakCount="1">
    <brk id="25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7</vt:i4>
      </vt:variant>
    </vt:vector>
  </HeadingPairs>
  <TitlesOfParts>
    <vt:vector size="15" baseType="lpstr">
      <vt:lpstr>입력</vt:lpstr>
      <vt:lpstr>총괄표</vt:lpstr>
      <vt:lpstr>참여기술자</vt:lpstr>
      <vt:lpstr>유사용역 </vt:lpstr>
      <vt:lpstr>신용도</vt:lpstr>
      <vt:lpstr>기술개발및투자실적</vt:lpstr>
      <vt:lpstr>업무중첩도</vt:lpstr>
      <vt:lpstr>가점</vt:lpstr>
      <vt:lpstr>가점!Print_Area</vt:lpstr>
      <vt:lpstr>기술개발및투자실적!Print_Area</vt:lpstr>
      <vt:lpstr>신용도!Print_Area</vt:lpstr>
      <vt:lpstr>업무중첩도!Print_Area</vt:lpstr>
      <vt:lpstr>'유사용역 '!Print_Area</vt:lpstr>
      <vt:lpstr>참여기술자!Print_Area</vt:lpstr>
      <vt:lpstr>총괄표!Print_Area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강명호</dc:creator>
  <cp:lastModifiedBy>user</cp:lastModifiedBy>
  <cp:lastPrinted>2021-01-10T03:38:08Z</cp:lastPrinted>
  <dcterms:created xsi:type="dcterms:W3CDTF">2001-12-21T04:10:38Z</dcterms:created>
  <dcterms:modified xsi:type="dcterms:W3CDTF">2025-04-02T08:01:31Z</dcterms:modified>
  <cp:contentStatus/>
</cp:coreProperties>
</file>